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主要技术经济指标" sheetId="2" r:id="rId1"/>
    <sheet name="项目总投资资金筹措计划表" sheetId="6" r:id="rId2"/>
    <sheet name="总成本费用估算表" sheetId="7" r:id="rId3"/>
    <sheet name="利润与利润分配表" sheetId="8" r:id="rId4"/>
    <sheet name="借款还本付息计划表" sheetId="9" r:id="rId5"/>
    <sheet name="财务计划现金流量表" sheetId="10" r:id="rId6"/>
    <sheet name="项目投资现金流量表" sheetId="11" r:id="rId7"/>
    <sheet name="项目资本金现金流量表" sheetId="12" r:id="rId8"/>
    <sheet name="资产负债表" sheetId="13" r:id="rId9"/>
    <sheet name="EVA表" sheetId="14" r:id="rId10"/>
  </sheets>
  <calcPr calcId="124519"/>
</workbook>
</file>

<file path=xl/calcChain.xml><?xml version="1.0" encoding="utf-8"?>
<calcChain xmlns="http://schemas.openxmlformats.org/spreadsheetml/2006/main">
  <c r="E11" i="14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X10"/>
  <c r="D7"/>
  <c r="D6"/>
  <c r="D5" s="1"/>
  <c r="W17" i="13"/>
  <c r="C23"/>
  <c r="W18"/>
  <c r="C18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C14"/>
  <c r="C10" l="1"/>
  <c r="C6"/>
  <c r="C7"/>
  <c r="D15" i="12" l="1"/>
  <c r="D14"/>
  <c r="O13"/>
  <c r="P13"/>
  <c r="Q13"/>
  <c r="R13"/>
  <c r="S13"/>
  <c r="T13"/>
  <c r="U13"/>
  <c r="V13"/>
  <c r="W13"/>
  <c r="D13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D10"/>
  <c r="E9"/>
  <c r="F9"/>
  <c r="G9"/>
  <c r="H9"/>
  <c r="I9"/>
  <c r="J9"/>
  <c r="K9"/>
  <c r="L9"/>
  <c r="M9"/>
  <c r="N9"/>
  <c r="O9"/>
  <c r="P9"/>
  <c r="Q9"/>
  <c r="R9"/>
  <c r="S9"/>
  <c r="T9"/>
  <c r="U9"/>
  <c r="V9"/>
  <c r="W9"/>
  <c r="D9"/>
  <c r="K8"/>
  <c r="L8"/>
  <c r="M8"/>
  <c r="N8"/>
  <c r="O8"/>
  <c r="P8"/>
  <c r="Q8"/>
  <c r="R8"/>
  <c r="S8"/>
  <c r="T8"/>
  <c r="U8"/>
  <c r="V8"/>
  <c r="W8"/>
  <c r="X8"/>
  <c r="D8"/>
  <c r="C12" i="13" s="1"/>
  <c r="C7" i="12"/>
  <c r="D6"/>
  <c r="F25" i="10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C36"/>
  <c r="C35"/>
  <c r="O34"/>
  <c r="P34"/>
  <c r="Q34"/>
  <c r="R34"/>
  <c r="S34"/>
  <c r="T34"/>
  <c r="U34"/>
  <c r="V34"/>
  <c r="W34"/>
  <c r="D34"/>
  <c r="D33"/>
  <c r="C31"/>
  <c r="C30"/>
  <c r="C29"/>
  <c r="H18"/>
  <c r="J18"/>
  <c r="K18"/>
  <c r="P18"/>
  <c r="R18"/>
  <c r="S18"/>
  <c r="X18"/>
  <c r="F20"/>
  <c r="F18" s="1"/>
  <c r="G20"/>
  <c r="G18" s="1"/>
  <c r="H20"/>
  <c r="I20"/>
  <c r="I18" s="1"/>
  <c r="J20"/>
  <c r="K20"/>
  <c r="L20"/>
  <c r="L18" s="1"/>
  <c r="M20"/>
  <c r="M18" s="1"/>
  <c r="N20"/>
  <c r="N18" s="1"/>
  <c r="O20"/>
  <c r="O18" s="1"/>
  <c r="P20"/>
  <c r="Q20"/>
  <c r="Q18" s="1"/>
  <c r="R20"/>
  <c r="S20"/>
  <c r="T20"/>
  <c r="T18" s="1"/>
  <c r="U20"/>
  <c r="U18" s="1"/>
  <c r="V20"/>
  <c r="V18" s="1"/>
  <c r="W20"/>
  <c r="W18" s="1"/>
  <c r="X20"/>
  <c r="C23"/>
  <c r="C19"/>
  <c r="C17"/>
  <c r="E16"/>
  <c r="E17" i="12" s="1"/>
  <c r="F16" i="10"/>
  <c r="F17" i="12" s="1"/>
  <c r="G16" i="10"/>
  <c r="G17" i="12" s="1"/>
  <c r="D16" i="10"/>
  <c r="D17" i="12" s="1"/>
  <c r="D15" i="10"/>
  <c r="C13"/>
  <c r="D12"/>
  <c r="C10"/>
  <c r="C9"/>
  <c r="D8"/>
  <c r="C17" i="9"/>
  <c r="C16"/>
  <c r="C15"/>
  <c r="C28" i="8"/>
  <c r="D23"/>
  <c r="D25" s="1"/>
  <c r="D28" s="1"/>
  <c r="C24" i="13" s="1"/>
  <c r="E22" i="8"/>
  <c r="C20"/>
  <c r="C17"/>
  <c r="C15"/>
  <c r="D13"/>
  <c r="D12"/>
  <c r="D15" i="11"/>
  <c r="D5"/>
  <c r="C7"/>
  <c r="C9" i="8"/>
  <c r="D9" s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D17" i="2"/>
  <c r="C8" i="8" s="1"/>
  <c r="D8" s="1"/>
  <c r="E8" s="1"/>
  <c r="B2"/>
  <c r="B1"/>
  <c r="F6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E23" i="7"/>
  <c r="F23" s="1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V23" s="1"/>
  <c r="W23" s="1"/>
  <c r="X23" s="1"/>
  <c r="E22"/>
  <c r="D20"/>
  <c r="D19"/>
  <c r="E19" s="1"/>
  <c r="E17"/>
  <c r="F17" s="1"/>
  <c r="G17" s="1"/>
  <c r="H17" s="1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E14"/>
  <c r="F14" s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D24" i="2"/>
  <c r="D23"/>
  <c r="C8" i="6"/>
  <c r="E8" s="1"/>
  <c r="C6"/>
  <c r="C7" s="1"/>
  <c r="C16" s="1"/>
  <c r="D16" s="1"/>
  <c r="S12" i="13" l="1"/>
  <c r="T12"/>
  <c r="U12"/>
  <c r="V12"/>
  <c r="E5" i="6"/>
  <c r="E9" s="1"/>
  <c r="D8" i="13"/>
  <c r="W12"/>
  <c r="C3" i="7"/>
  <c r="C7" s="1"/>
  <c r="R12" i="13"/>
  <c r="E22" i="10"/>
  <c r="C22" s="1"/>
  <c r="D5" i="12"/>
  <c r="D32" i="10"/>
  <c r="D6"/>
  <c r="B3" i="8"/>
  <c r="Q7" s="1"/>
  <c r="E13" i="11"/>
  <c r="C13" s="1"/>
  <c r="H8" i="2"/>
  <c r="X10" i="11"/>
  <c r="F8" i="8"/>
  <c r="D11"/>
  <c r="F22" i="7"/>
  <c r="E21"/>
  <c r="C23"/>
  <c r="C17"/>
  <c r="D24"/>
  <c r="C14"/>
  <c r="F19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C5" i="6"/>
  <c r="C17"/>
  <c r="C12"/>
  <c r="E12" s="1"/>
  <c r="E10" s="1"/>
  <c r="D6"/>
  <c r="D12" i="11" s="1"/>
  <c r="C12" s="1"/>
  <c r="D5" i="6"/>
  <c r="D7"/>
  <c r="H7" i="2" s="1"/>
  <c r="H6" l="1"/>
  <c r="C4" i="7"/>
  <c r="F4" s="1"/>
  <c r="D21" i="10"/>
  <c r="C6" i="7"/>
  <c r="F6" s="1"/>
  <c r="C5"/>
  <c r="F5" s="1"/>
  <c r="Q8" i="13"/>
  <c r="I8"/>
  <c r="R8"/>
  <c r="J8"/>
  <c r="W8"/>
  <c r="S8"/>
  <c r="K8"/>
  <c r="G8"/>
  <c r="T8"/>
  <c r="L8"/>
  <c r="M8"/>
  <c r="E8"/>
  <c r="V8"/>
  <c r="U8"/>
  <c r="F8"/>
  <c r="H8"/>
  <c r="N8"/>
  <c r="O8"/>
  <c r="P8"/>
  <c r="E20" i="10"/>
  <c r="E12" i="12"/>
  <c r="E26" i="10"/>
  <c r="C10" i="11"/>
  <c r="X10" i="12"/>
  <c r="C10" s="1"/>
  <c r="D16" i="8"/>
  <c r="D29" s="1"/>
  <c r="D30" s="1"/>
  <c r="D14" i="10"/>
  <c r="D11" i="11"/>
  <c r="D18" s="1"/>
  <c r="N7" i="8"/>
  <c r="M7"/>
  <c r="E7"/>
  <c r="V7"/>
  <c r="I7"/>
  <c r="R7"/>
  <c r="J7"/>
  <c r="S7"/>
  <c r="F7"/>
  <c r="F10" s="1"/>
  <c r="K7"/>
  <c r="X7"/>
  <c r="W7"/>
  <c r="T7"/>
  <c r="P7"/>
  <c r="O7"/>
  <c r="L7"/>
  <c r="H7"/>
  <c r="G7"/>
  <c r="U7"/>
  <c r="E17" i="6"/>
  <c r="E11" i="9"/>
  <c r="G8" i="8"/>
  <c r="F21" i="7"/>
  <c r="G22"/>
  <c r="C19"/>
  <c r="D9" i="6"/>
  <c r="C9" i="13" s="1"/>
  <c r="C15" i="6"/>
  <c r="C11"/>
  <c r="E10" i="8" l="1"/>
  <c r="E7" i="10" s="1"/>
  <c r="E6" i="12" s="1"/>
  <c r="F3" i="7"/>
  <c r="H3" s="1"/>
  <c r="L13" s="1"/>
  <c r="C5" i="13"/>
  <c r="D11" i="14"/>
  <c r="C11" s="1"/>
  <c r="D20" i="10"/>
  <c r="D18" s="1"/>
  <c r="C21"/>
  <c r="D19" i="11"/>
  <c r="E18" i="10"/>
  <c r="E13" i="6"/>
  <c r="E28" i="10"/>
  <c r="C28" s="1"/>
  <c r="D21" i="11"/>
  <c r="D16" i="12"/>
  <c r="D11" i="10"/>
  <c r="D5" s="1"/>
  <c r="F6" i="11"/>
  <c r="F8" s="1"/>
  <c r="F7" i="10"/>
  <c r="F6" i="12" s="1"/>
  <c r="C7" i="8"/>
  <c r="H5" i="2" s="1"/>
  <c r="X14" i="9"/>
  <c r="C11"/>
  <c r="E12"/>
  <c r="D18" i="13" s="1"/>
  <c r="H8" i="8"/>
  <c r="G10"/>
  <c r="G7" i="10" s="1"/>
  <c r="G6" i="12" s="1"/>
  <c r="G21" i="7"/>
  <c r="H22"/>
  <c r="D15" i="6"/>
  <c r="C14"/>
  <c r="D11"/>
  <c r="C10"/>
  <c r="E8" i="10" l="1"/>
  <c r="E6" s="1"/>
  <c r="E6" i="11"/>
  <c r="E8" s="1"/>
  <c r="E8" i="12" s="1"/>
  <c r="E5" s="1"/>
  <c r="C8" i="11"/>
  <c r="D14" i="6"/>
  <c r="D13" s="1"/>
  <c r="D27" i="10"/>
  <c r="C27" s="1"/>
  <c r="C20"/>
  <c r="C18" s="1"/>
  <c r="D10" i="6"/>
  <c r="C21" i="13"/>
  <c r="H4" i="7"/>
  <c r="D22" i="11"/>
  <c r="E25" i="10"/>
  <c r="C14" i="9"/>
  <c r="X34" i="10"/>
  <c r="X13" i="12"/>
  <c r="F5" i="11"/>
  <c r="F8" i="12"/>
  <c r="F5" s="1"/>
  <c r="F8" i="10"/>
  <c r="F15"/>
  <c r="G8"/>
  <c r="G6" s="1"/>
  <c r="U13" i="7"/>
  <c r="F12" i="9"/>
  <c r="E13"/>
  <c r="G13" i="7"/>
  <c r="O13"/>
  <c r="I13"/>
  <c r="E13"/>
  <c r="S13"/>
  <c r="V13"/>
  <c r="X13"/>
  <c r="Q13"/>
  <c r="N13"/>
  <c r="K13"/>
  <c r="C13" i="6"/>
  <c r="C9" s="1"/>
  <c r="D5" i="9"/>
  <c r="P13" i="7"/>
  <c r="H13"/>
  <c r="R13"/>
  <c r="F13"/>
  <c r="T13"/>
  <c r="M13"/>
  <c r="J13"/>
  <c r="W13"/>
  <c r="F17" i="11"/>
  <c r="F13" i="8" s="1"/>
  <c r="F16" i="11"/>
  <c r="I8" i="8"/>
  <c r="H10"/>
  <c r="G6" i="11"/>
  <c r="I22" i="7"/>
  <c r="H21"/>
  <c r="E15" i="10" l="1"/>
  <c r="E17" i="11"/>
  <c r="E13" i="8" s="1"/>
  <c r="E5" i="11"/>
  <c r="X9"/>
  <c r="X9" i="12" s="1"/>
  <c r="E16" i="11"/>
  <c r="E12" i="8" s="1"/>
  <c r="H5" i="7"/>
  <c r="E12" s="1"/>
  <c r="P12" s="1"/>
  <c r="C13"/>
  <c r="D12" i="12"/>
  <c r="D26" i="10"/>
  <c r="C20" i="13"/>
  <c r="D9" i="14" s="1"/>
  <c r="D21" i="13"/>
  <c r="G12" i="9"/>
  <c r="E18" i="13"/>
  <c r="F6" i="10"/>
  <c r="H6" i="11"/>
  <c r="H8" s="1"/>
  <c r="H7" i="10"/>
  <c r="H6" i="12" s="1"/>
  <c r="F13" i="9"/>
  <c r="C5"/>
  <c r="E8" s="1"/>
  <c r="E9"/>
  <c r="E20" i="7" s="1"/>
  <c r="E6" i="9"/>
  <c r="F15" i="11"/>
  <c r="F12" i="8"/>
  <c r="F11" s="1"/>
  <c r="F14" i="10" s="1"/>
  <c r="F16" i="12" s="1"/>
  <c r="G8" i="11"/>
  <c r="J8" i="8"/>
  <c r="I10"/>
  <c r="I7" i="10" s="1"/>
  <c r="I6" i="12" s="1"/>
  <c r="J22" i="7"/>
  <c r="I21"/>
  <c r="E15" i="11" l="1"/>
  <c r="C9"/>
  <c r="T12" i="7"/>
  <c r="N12"/>
  <c r="K12"/>
  <c r="O12"/>
  <c r="E16"/>
  <c r="D10" i="13" s="1"/>
  <c r="L12" i="7"/>
  <c r="S12"/>
  <c r="W12"/>
  <c r="V12"/>
  <c r="U12"/>
  <c r="J12"/>
  <c r="H12"/>
  <c r="X12"/>
  <c r="I12"/>
  <c r="F12"/>
  <c r="M12"/>
  <c r="G12"/>
  <c r="Q12"/>
  <c r="R12"/>
  <c r="C17" i="13"/>
  <c r="C19" s="1"/>
  <c r="C13" s="1"/>
  <c r="D25" i="10"/>
  <c r="C26"/>
  <c r="E14" i="12"/>
  <c r="E7" i="14" s="1"/>
  <c r="C12" i="12"/>
  <c r="D11"/>
  <c r="D18" s="1"/>
  <c r="E33" i="10"/>
  <c r="E13" i="12"/>
  <c r="E34" i="10"/>
  <c r="E21" i="13"/>
  <c r="H12" i="9"/>
  <c r="F18" i="13"/>
  <c r="G13" i="9"/>
  <c r="H5" i="11"/>
  <c r="H8" i="12"/>
  <c r="H5" s="1"/>
  <c r="G16" i="11"/>
  <c r="G12" i="8" s="1"/>
  <c r="G8" i="12"/>
  <c r="G15" i="10"/>
  <c r="C9" i="12"/>
  <c r="I8" i="10"/>
  <c r="I6" s="1"/>
  <c r="H15"/>
  <c r="H8"/>
  <c r="H6" s="1"/>
  <c r="F8" i="9"/>
  <c r="E7"/>
  <c r="F6"/>
  <c r="G5" i="11"/>
  <c r="E11" i="8"/>
  <c r="E14" i="10" s="1"/>
  <c r="K8" i="8"/>
  <c r="J10"/>
  <c r="I6" i="11"/>
  <c r="G17"/>
  <c r="H16"/>
  <c r="H17"/>
  <c r="H13" i="8" s="1"/>
  <c r="K22" i="7"/>
  <c r="J21"/>
  <c r="E32" i="10" l="1"/>
  <c r="E24" s="1"/>
  <c r="F16" i="7"/>
  <c r="E10" i="13" s="1"/>
  <c r="C12" i="7"/>
  <c r="E15"/>
  <c r="E24" s="1"/>
  <c r="C26" i="13"/>
  <c r="D10" i="14"/>
  <c r="D17" i="13"/>
  <c r="D19" s="1"/>
  <c r="E10" i="14" s="1"/>
  <c r="F21" i="13"/>
  <c r="D24" i="10"/>
  <c r="D37" s="1"/>
  <c r="C25"/>
  <c r="I12" i="9"/>
  <c r="G18" i="13"/>
  <c r="F34" i="10"/>
  <c r="F13" i="12"/>
  <c r="G15" i="11"/>
  <c r="H13" i="9"/>
  <c r="G5" i="12"/>
  <c r="E16"/>
  <c r="J6" i="11"/>
  <c r="J7" i="10"/>
  <c r="J6" i="12" s="1"/>
  <c r="G6" i="9"/>
  <c r="E17" i="13" s="1"/>
  <c r="E19" s="1"/>
  <c r="F10" i="14" s="1"/>
  <c r="G8" i="9"/>
  <c r="G13" i="8"/>
  <c r="G11" s="1"/>
  <c r="G14" i="10" s="1"/>
  <c r="G16" i="12" s="1"/>
  <c r="H15" i="11"/>
  <c r="H12" i="8"/>
  <c r="H11" s="1"/>
  <c r="H14" i="10" s="1"/>
  <c r="H16" i="12" s="1"/>
  <c r="L8" i="8"/>
  <c r="K10"/>
  <c r="K7" i="10" s="1"/>
  <c r="K6" i="12" s="1"/>
  <c r="K5" s="1"/>
  <c r="I8" i="11"/>
  <c r="K21" i="7"/>
  <c r="L22"/>
  <c r="E14" i="8" l="1"/>
  <c r="E16" s="1"/>
  <c r="E29" s="1"/>
  <c r="E18" i="9" s="1"/>
  <c r="F15" i="7"/>
  <c r="F25" s="1"/>
  <c r="F15" i="12" s="1"/>
  <c r="G16" i="7"/>
  <c r="F10" i="13" s="1"/>
  <c r="E25" i="7"/>
  <c r="E15" i="12" s="1"/>
  <c r="E11" s="1"/>
  <c r="E18" s="1"/>
  <c r="G34" i="10"/>
  <c r="G13" i="12"/>
  <c r="G21" i="13"/>
  <c r="J12" i="9"/>
  <c r="H18" i="13"/>
  <c r="H6" i="9"/>
  <c r="I13"/>
  <c r="J8" i="11"/>
  <c r="J8" i="12" s="1"/>
  <c r="J5" s="1"/>
  <c r="I8"/>
  <c r="I15" i="10"/>
  <c r="J8"/>
  <c r="J6" s="1"/>
  <c r="K15"/>
  <c r="K8"/>
  <c r="K6" s="1"/>
  <c r="H8" i="9"/>
  <c r="K6" i="11"/>
  <c r="I17"/>
  <c r="M8" i="8"/>
  <c r="L10"/>
  <c r="I5" i="11"/>
  <c r="I16"/>
  <c r="L21" i="7"/>
  <c r="M22"/>
  <c r="E30" i="8" l="1"/>
  <c r="E19" i="9" s="1"/>
  <c r="E18" i="8"/>
  <c r="E21"/>
  <c r="E6" i="14" s="1"/>
  <c r="E5" s="1"/>
  <c r="G15" i="7"/>
  <c r="G25" s="1"/>
  <c r="G15" i="12" s="1"/>
  <c r="F14" i="11"/>
  <c r="F11" s="1"/>
  <c r="F18" s="1"/>
  <c r="F21" s="1"/>
  <c r="H16" i="7"/>
  <c r="G10" i="13" s="1"/>
  <c r="F12" i="10"/>
  <c r="F11" s="1"/>
  <c r="F5" s="1"/>
  <c r="E14" i="11"/>
  <c r="E11" s="1"/>
  <c r="E18" s="1"/>
  <c r="E19" s="1"/>
  <c r="E12" i="10"/>
  <c r="E11" s="1"/>
  <c r="E5" s="1"/>
  <c r="E37" s="1"/>
  <c r="E38" s="1"/>
  <c r="D7" i="13" s="1"/>
  <c r="D6" s="1"/>
  <c r="J17" i="11"/>
  <c r="J13" i="8" s="1"/>
  <c r="I16" i="7"/>
  <c r="H10" i="13" s="1"/>
  <c r="H15" i="7"/>
  <c r="H25" s="1"/>
  <c r="F17" i="13"/>
  <c r="F19" s="1"/>
  <c r="G10" i="14" s="1"/>
  <c r="H21" i="13"/>
  <c r="H34" i="10"/>
  <c r="H13" i="12"/>
  <c r="K12" i="9"/>
  <c r="I18" i="13"/>
  <c r="I6" i="9"/>
  <c r="J15" i="10"/>
  <c r="J13" i="9"/>
  <c r="J16" i="11"/>
  <c r="J12" i="8" s="1"/>
  <c r="I5" i="12"/>
  <c r="C8"/>
  <c r="J5" i="11"/>
  <c r="L6"/>
  <c r="L16" s="1"/>
  <c r="L7" i="10"/>
  <c r="L6" i="12" s="1"/>
  <c r="L5" s="1"/>
  <c r="I8" i="9"/>
  <c r="I13" i="8"/>
  <c r="N8"/>
  <c r="M10"/>
  <c r="I12"/>
  <c r="I15" i="11"/>
  <c r="K5"/>
  <c r="K17"/>
  <c r="K13" i="8" s="1"/>
  <c r="K16" i="11"/>
  <c r="M21" i="7"/>
  <c r="N22"/>
  <c r="E24" i="8" l="1"/>
  <c r="D23" i="13" s="1"/>
  <c r="E23" i="8"/>
  <c r="G14" i="11"/>
  <c r="G11" s="1"/>
  <c r="G18" s="1"/>
  <c r="G21" s="1"/>
  <c r="G12" i="10"/>
  <c r="G11" s="1"/>
  <c r="G5" s="1"/>
  <c r="F19" i="11"/>
  <c r="E21"/>
  <c r="J11" i="8"/>
  <c r="J14" i="10" s="1"/>
  <c r="J16" i="12" s="1"/>
  <c r="I15" i="7"/>
  <c r="I25" s="1"/>
  <c r="J16"/>
  <c r="I10" i="13" s="1"/>
  <c r="G17"/>
  <c r="G19" s="1"/>
  <c r="H10" i="14" s="1"/>
  <c r="J6" i="9"/>
  <c r="I34" i="10"/>
  <c r="I13" i="12"/>
  <c r="I12" i="13"/>
  <c r="J12"/>
  <c r="D12"/>
  <c r="D5" s="1"/>
  <c r="D26" s="1"/>
  <c r="E12"/>
  <c r="F12"/>
  <c r="G12"/>
  <c r="H12"/>
  <c r="I21"/>
  <c r="L12" i="9"/>
  <c r="J18" i="13"/>
  <c r="K13" i="9"/>
  <c r="H14" i="11"/>
  <c r="H11" s="1"/>
  <c r="H18" s="1"/>
  <c r="H12" i="10"/>
  <c r="H15" i="12"/>
  <c r="J15" i="11"/>
  <c r="L15" i="10"/>
  <c r="L8"/>
  <c r="L6" s="1"/>
  <c r="L17" i="11"/>
  <c r="L13" i="8" s="1"/>
  <c r="M6" i="11"/>
  <c r="M5" s="1"/>
  <c r="M7" i="10"/>
  <c r="M6" i="12" s="1"/>
  <c r="M5" s="1"/>
  <c r="L5" i="11"/>
  <c r="J8" i="9"/>
  <c r="I11" i="8"/>
  <c r="I14" i="10" s="1"/>
  <c r="L12" i="8"/>
  <c r="O8"/>
  <c r="N10"/>
  <c r="K12"/>
  <c r="K11" s="1"/>
  <c r="K14" i="10" s="1"/>
  <c r="K15" i="11"/>
  <c r="N21" i="7"/>
  <c r="O22"/>
  <c r="E25" i="8" l="1"/>
  <c r="E28" s="1"/>
  <c r="D24" i="13" s="1"/>
  <c r="D20" s="1"/>
  <c r="F22" i="8"/>
  <c r="E22" i="11"/>
  <c r="F22" s="1"/>
  <c r="G22" s="1"/>
  <c r="G19"/>
  <c r="H19" s="1"/>
  <c r="K16" i="7"/>
  <c r="J10" i="13" s="1"/>
  <c r="J15" i="7"/>
  <c r="J25" s="1"/>
  <c r="H17" i="13"/>
  <c r="H19" s="1"/>
  <c r="I10" i="14" s="1"/>
  <c r="J21" i="13"/>
  <c r="K6" i="9"/>
  <c r="J34" i="10"/>
  <c r="J13" i="12"/>
  <c r="M12" i="9"/>
  <c r="K18" i="13"/>
  <c r="L13" i="9"/>
  <c r="I14" i="11"/>
  <c r="I11" s="1"/>
  <c r="I18" s="1"/>
  <c r="I15" i="12"/>
  <c r="I12" i="10"/>
  <c r="I16" i="12"/>
  <c r="K16"/>
  <c r="M15" i="10"/>
  <c r="M8"/>
  <c r="M6" s="1"/>
  <c r="L15" i="11"/>
  <c r="M16"/>
  <c r="M12" i="8" s="1"/>
  <c r="M17" i="11"/>
  <c r="M13" i="8" s="1"/>
  <c r="L11"/>
  <c r="L14" i="10" s="1"/>
  <c r="N6" i="11"/>
  <c r="N17" s="1"/>
  <c r="N7" i="10"/>
  <c r="N6" i="12" s="1"/>
  <c r="N5" s="1"/>
  <c r="K8" i="9"/>
  <c r="P8" i="8"/>
  <c r="O10"/>
  <c r="O21" i="7"/>
  <c r="P22"/>
  <c r="D13" i="13" l="1"/>
  <c r="E9" i="14"/>
  <c r="L16" i="7"/>
  <c r="K10" i="13" s="1"/>
  <c r="K15" i="7"/>
  <c r="K25" s="1"/>
  <c r="I17" i="13"/>
  <c r="I19" s="1"/>
  <c r="J10" i="14" s="1"/>
  <c r="N12" i="9"/>
  <c r="L18" i="13"/>
  <c r="K34" i="10"/>
  <c r="K13" i="12"/>
  <c r="K21" i="13"/>
  <c r="M13" i="9"/>
  <c r="I19" i="11"/>
  <c r="J14"/>
  <c r="J11" s="1"/>
  <c r="J18" s="1"/>
  <c r="J12" i="10"/>
  <c r="J15" i="12"/>
  <c r="N5" i="11"/>
  <c r="L16" i="12"/>
  <c r="N15" i="10"/>
  <c r="N8"/>
  <c r="N6" s="1"/>
  <c r="M15" i="11"/>
  <c r="N16"/>
  <c r="N12" i="8" s="1"/>
  <c r="O6" i="11"/>
  <c r="O5" s="1"/>
  <c r="O7" i="10"/>
  <c r="O6" i="12" s="1"/>
  <c r="O5" s="1"/>
  <c r="L8" i="9"/>
  <c r="L6"/>
  <c r="N13" i="8"/>
  <c r="M11"/>
  <c r="M14" i="10" s="1"/>
  <c r="Q8" i="8"/>
  <c r="P10"/>
  <c r="P21" i="7"/>
  <c r="Q22"/>
  <c r="L15" l="1"/>
  <c r="L25" s="1"/>
  <c r="M16"/>
  <c r="L10" i="13" s="1"/>
  <c r="J17"/>
  <c r="J19" s="1"/>
  <c r="K10" i="14" s="1"/>
  <c r="O12" i="9"/>
  <c r="M18" i="13"/>
  <c r="L21"/>
  <c r="L13" i="12"/>
  <c r="L34" i="10"/>
  <c r="O16" i="11"/>
  <c r="O12" i="8" s="1"/>
  <c r="O17" i="11"/>
  <c r="O13" i="8" s="1"/>
  <c r="J19" i="11"/>
  <c r="N13" i="9"/>
  <c r="K14" i="11"/>
  <c r="K11" s="1"/>
  <c r="K18" s="1"/>
  <c r="K15" i="12"/>
  <c r="K12" i="10"/>
  <c r="M16" i="12"/>
  <c r="O8" i="10"/>
  <c r="O6" s="1"/>
  <c r="O15"/>
  <c r="P6" i="11"/>
  <c r="P5" s="1"/>
  <c r="P7" i="10"/>
  <c r="P6" i="12" s="1"/>
  <c r="P5" s="1"/>
  <c r="N15" i="11"/>
  <c r="M6" i="9"/>
  <c r="K17" i="13" s="1"/>
  <c r="K19" s="1"/>
  <c r="L10" i="14" s="1"/>
  <c r="M8" i="9"/>
  <c r="N11" i="8"/>
  <c r="N14" i="10" s="1"/>
  <c r="R8" i="8"/>
  <c r="Q10"/>
  <c r="R22" i="7"/>
  <c r="Q21"/>
  <c r="M15" l="1"/>
  <c r="M25" s="1"/>
  <c r="N16"/>
  <c r="M10" i="13" s="1"/>
  <c r="P12" i="9"/>
  <c r="N18" i="13"/>
  <c r="M21"/>
  <c r="N6" i="9"/>
  <c r="M13" i="12"/>
  <c r="M34" i="10"/>
  <c r="O11" i="8"/>
  <c r="O14" i="10" s="1"/>
  <c r="O16" i="12" s="1"/>
  <c r="O15" i="11"/>
  <c r="K19"/>
  <c r="O13" i="9"/>
  <c r="L14" i="11"/>
  <c r="L11" s="1"/>
  <c r="L18" s="1"/>
  <c r="L12" i="10"/>
  <c r="L15" i="12"/>
  <c r="N16"/>
  <c r="P15" i="10"/>
  <c r="P8"/>
  <c r="P6" s="1"/>
  <c r="Q6" i="11"/>
  <c r="Q16" s="1"/>
  <c r="Q7" i="10"/>
  <c r="Q6" i="12" s="1"/>
  <c r="Q5" s="1"/>
  <c r="P17" i="11"/>
  <c r="P13" i="8" s="1"/>
  <c r="P16" i="11"/>
  <c r="P12" i="8" s="1"/>
  <c r="N8" i="9"/>
  <c r="S8" i="8"/>
  <c r="R10"/>
  <c r="S22" i="7"/>
  <c r="R21"/>
  <c r="O16" l="1"/>
  <c r="N10" i="13" s="1"/>
  <c r="N15" i="7"/>
  <c r="N25" s="1"/>
  <c r="L17" i="13"/>
  <c r="L19" s="1"/>
  <c r="M10" i="14" s="1"/>
  <c r="N21" i="13"/>
  <c r="Q12" i="9"/>
  <c r="O18" i="13"/>
  <c r="N34" i="10"/>
  <c r="C34" s="1"/>
  <c r="N13" i="12"/>
  <c r="C13" s="1"/>
  <c r="L19" i="11"/>
  <c r="O14" i="12"/>
  <c r="O7" i="14" s="1"/>
  <c r="O33" i="10"/>
  <c r="O32" s="1"/>
  <c r="O24" s="1"/>
  <c r="O20" i="7"/>
  <c r="P13" i="9"/>
  <c r="M14" i="11"/>
  <c r="M11" s="1"/>
  <c r="M18" s="1"/>
  <c r="M15" i="12"/>
  <c r="M12" i="10"/>
  <c r="Q15"/>
  <c r="Q8"/>
  <c r="Q6" s="1"/>
  <c r="P11" i="8"/>
  <c r="P14" i="10" s="1"/>
  <c r="R6" i="11"/>
  <c r="R16" s="1"/>
  <c r="R7" i="10"/>
  <c r="R6" i="12" s="1"/>
  <c r="R5" s="1"/>
  <c r="Q5" i="11"/>
  <c r="Q17"/>
  <c r="Q13" i="8" s="1"/>
  <c r="P15" i="11"/>
  <c r="C8" i="9"/>
  <c r="E10" s="1"/>
  <c r="O6"/>
  <c r="M17" i="13" s="1"/>
  <c r="M19" s="1"/>
  <c r="N10" i="14" s="1"/>
  <c r="Q12" i="8"/>
  <c r="T8"/>
  <c r="S10"/>
  <c r="S21" i="7"/>
  <c r="T22"/>
  <c r="O15" l="1"/>
  <c r="O25" s="1"/>
  <c r="P16"/>
  <c r="O10" i="13" s="1"/>
  <c r="R12" i="9"/>
  <c r="P18" i="13"/>
  <c r="O21"/>
  <c r="P6" i="9"/>
  <c r="N17" i="13" s="1"/>
  <c r="N19" s="1"/>
  <c r="O10" i="14" s="1"/>
  <c r="Q15" i="11"/>
  <c r="M19"/>
  <c r="P14" i="12"/>
  <c r="P7" i="14" s="1"/>
  <c r="P33" i="10"/>
  <c r="P32" s="1"/>
  <c r="P24" s="1"/>
  <c r="Q13" i="9"/>
  <c r="P20" i="7"/>
  <c r="N14" i="11"/>
  <c r="N11" s="1"/>
  <c r="N18" s="1"/>
  <c r="N12" i="10"/>
  <c r="N15" i="12"/>
  <c r="P16"/>
  <c r="R15" i="10"/>
  <c r="R8"/>
  <c r="R6" s="1"/>
  <c r="S6" i="11"/>
  <c r="S5" s="1"/>
  <c r="S7" i="10"/>
  <c r="S6" i="12" s="1"/>
  <c r="S5" s="1"/>
  <c r="Q11" i="8"/>
  <c r="Q14" i="10" s="1"/>
  <c r="R5" i="11"/>
  <c r="R17"/>
  <c r="R13" i="8" s="1"/>
  <c r="F9" i="9"/>
  <c r="F10"/>
  <c r="U8" i="8"/>
  <c r="T10"/>
  <c r="R12"/>
  <c r="T21" i="7"/>
  <c r="U22"/>
  <c r="O24" l="1"/>
  <c r="O14" i="8" s="1"/>
  <c r="O16" s="1"/>
  <c r="O29" s="1"/>
  <c r="O30" s="1"/>
  <c r="P15" i="7"/>
  <c r="P24" s="1"/>
  <c r="P14" i="8" s="1"/>
  <c r="P16" s="1"/>
  <c r="P29" s="1"/>
  <c r="P30" s="1"/>
  <c r="Q16" i="7"/>
  <c r="P10" i="13" s="1"/>
  <c r="S12" i="9"/>
  <c r="Q18" i="13"/>
  <c r="P21"/>
  <c r="Q6" i="9"/>
  <c r="O17" i="13" s="1"/>
  <c r="O19" s="1"/>
  <c r="P10" i="14" s="1"/>
  <c r="F14" i="12"/>
  <c r="F33" i="10"/>
  <c r="F32" s="1"/>
  <c r="F24" s="1"/>
  <c r="F37" s="1"/>
  <c r="F38" s="1"/>
  <c r="E7" i="13" s="1"/>
  <c r="E6" s="1"/>
  <c r="E5" s="1"/>
  <c r="E26" s="1"/>
  <c r="R15" i="11"/>
  <c r="Q33" i="10"/>
  <c r="Q32" s="1"/>
  <c r="Q24" s="1"/>
  <c r="Q14" i="12"/>
  <c r="Q7" i="14" s="1"/>
  <c r="Q20" i="7"/>
  <c r="R13" i="9"/>
  <c r="N19" i="11"/>
  <c r="O14"/>
  <c r="O11" s="1"/>
  <c r="O18" s="1"/>
  <c r="O12" i="10"/>
  <c r="O15" i="12"/>
  <c r="Q16"/>
  <c r="S15" i="10"/>
  <c r="S8"/>
  <c r="S6" s="1"/>
  <c r="R11" i="8"/>
  <c r="R14" i="10" s="1"/>
  <c r="T6" i="11"/>
  <c r="T16" s="1"/>
  <c r="T7" i="10"/>
  <c r="T6" i="12" s="1"/>
  <c r="T5" s="1"/>
  <c r="S17" i="11"/>
  <c r="S13" i="8" s="1"/>
  <c r="S16" i="11"/>
  <c r="S12" i="8" s="1"/>
  <c r="F20" i="7"/>
  <c r="F7" i="9"/>
  <c r="G9"/>
  <c r="G10"/>
  <c r="V8" i="8"/>
  <c r="U10"/>
  <c r="U21" i="7"/>
  <c r="V22"/>
  <c r="P25" l="1"/>
  <c r="P15" i="12" s="1"/>
  <c r="O20" i="11"/>
  <c r="O21" s="1"/>
  <c r="O18" i="8"/>
  <c r="O19" s="1"/>
  <c r="O21" s="1"/>
  <c r="F11" i="12"/>
  <c r="F18" s="1"/>
  <c r="F7" i="14"/>
  <c r="Q15" i="7"/>
  <c r="Q24" s="1"/>
  <c r="Q14" i="8" s="1"/>
  <c r="Q16" s="1"/>
  <c r="Q29" s="1"/>
  <c r="Q30" s="1"/>
  <c r="R16" i="7"/>
  <c r="Q10" i="13" s="1"/>
  <c r="Q21"/>
  <c r="T12" i="9"/>
  <c r="R18" i="13"/>
  <c r="R6" i="9"/>
  <c r="P17" i="13" s="1"/>
  <c r="P19" s="1"/>
  <c r="Q10" i="14" s="1"/>
  <c r="G33" i="10"/>
  <c r="G32" s="1"/>
  <c r="G24" s="1"/>
  <c r="G37" s="1"/>
  <c r="G38" s="1"/>
  <c r="F7" i="13" s="1"/>
  <c r="F6" s="1"/>
  <c r="F5" s="1"/>
  <c r="F26" s="1"/>
  <c r="G14" i="12"/>
  <c r="R33" i="10"/>
  <c r="R32" s="1"/>
  <c r="R24" s="1"/>
  <c r="R14" i="12"/>
  <c r="R7" i="14" s="1"/>
  <c r="R20" i="7"/>
  <c r="S13" i="9"/>
  <c r="O19" i="11"/>
  <c r="S11" i="8"/>
  <c r="S14" i="10" s="1"/>
  <c r="R16" i="12"/>
  <c r="T15" i="10"/>
  <c r="T8"/>
  <c r="T6" s="1"/>
  <c r="S15" i="11"/>
  <c r="T5"/>
  <c r="T17"/>
  <c r="T13" i="8" s="1"/>
  <c r="U6" i="11"/>
  <c r="U17" s="1"/>
  <c r="U13" i="8" s="1"/>
  <c r="U7" i="10"/>
  <c r="U6" i="12" s="1"/>
  <c r="U5" s="1"/>
  <c r="F24" i="7"/>
  <c r="H9" i="9"/>
  <c r="H10"/>
  <c r="G20" i="7"/>
  <c r="G24" s="1"/>
  <c r="G14" i="8" s="1"/>
  <c r="G16" s="1"/>
  <c r="G29" s="1"/>
  <c r="G7" i="9"/>
  <c r="P18" i="8"/>
  <c r="P19" s="1"/>
  <c r="P20" i="11"/>
  <c r="W8" i="8"/>
  <c r="V10"/>
  <c r="T12"/>
  <c r="V21" i="7"/>
  <c r="W22"/>
  <c r="F14" i="8" l="1"/>
  <c r="F16" s="1"/>
  <c r="F29" s="1"/>
  <c r="F18" i="9" s="1"/>
  <c r="Q25" i="7"/>
  <c r="Q14" i="11" s="1"/>
  <c r="Q11" s="1"/>
  <c r="Q18" s="1"/>
  <c r="P12" i="10"/>
  <c r="P14" i="11"/>
  <c r="P11" s="1"/>
  <c r="P18" s="1"/>
  <c r="P19" s="1"/>
  <c r="O16" i="10"/>
  <c r="O11" s="1"/>
  <c r="O5" s="1"/>
  <c r="O37" s="1"/>
  <c r="G11" i="12"/>
  <c r="G18" s="1"/>
  <c r="G7" i="14"/>
  <c r="O24" i="8"/>
  <c r="O6" i="14"/>
  <c r="O5" s="1"/>
  <c r="S16" i="7"/>
  <c r="R10" i="13" s="1"/>
  <c r="R15" i="7"/>
  <c r="R24" s="1"/>
  <c r="R14" i="8" s="1"/>
  <c r="R16" s="1"/>
  <c r="R29" s="1"/>
  <c r="R30" s="1"/>
  <c r="R21" i="13"/>
  <c r="U12" i="9"/>
  <c r="S18" i="13"/>
  <c r="S6" i="9"/>
  <c r="Q17" i="13" s="1"/>
  <c r="Q19" s="1"/>
  <c r="R10" i="14" s="1"/>
  <c r="H33" i="10"/>
  <c r="H32" s="1"/>
  <c r="H24" s="1"/>
  <c r="H14" i="12"/>
  <c r="H7" i="14" s="1"/>
  <c r="U16" i="11"/>
  <c r="U12" i="8" s="1"/>
  <c r="U11" s="1"/>
  <c r="U14" i="10" s="1"/>
  <c r="U5" i="11"/>
  <c r="T11" i="8"/>
  <c r="T14" i="10" s="1"/>
  <c r="T16" i="12" s="1"/>
  <c r="S33" i="10"/>
  <c r="S32" s="1"/>
  <c r="S24" s="1"/>
  <c r="S14" i="12"/>
  <c r="S7" i="14" s="1"/>
  <c r="S20" i="7"/>
  <c r="T13" i="9"/>
  <c r="S16" i="12"/>
  <c r="P21" i="8"/>
  <c r="P16" i="10"/>
  <c r="U15"/>
  <c r="U8"/>
  <c r="U6" s="1"/>
  <c r="V6" i="11"/>
  <c r="V16" s="1"/>
  <c r="V7" i="10"/>
  <c r="V6" i="12" s="1"/>
  <c r="V5" s="1"/>
  <c r="T15" i="11"/>
  <c r="G30" i="8"/>
  <c r="G19" i="9" s="1"/>
  <c r="G18"/>
  <c r="H20" i="7"/>
  <c r="H7" i="9"/>
  <c r="Q20" i="11"/>
  <c r="Q18" i="8"/>
  <c r="Q19" s="1"/>
  <c r="I10" i="9"/>
  <c r="I9"/>
  <c r="G21" i="8"/>
  <c r="G6" i="14" s="1"/>
  <c r="G18" i="8"/>
  <c r="X8"/>
  <c r="X10" s="1"/>
  <c r="X7" i="10" s="1"/>
  <c r="X6" i="12" s="1"/>
  <c r="W10" i="8"/>
  <c r="W21" i="7"/>
  <c r="X22"/>
  <c r="Q12" i="10" l="1"/>
  <c r="Q15" i="12"/>
  <c r="P21" i="11"/>
  <c r="T16" i="7"/>
  <c r="S10" i="13" s="1"/>
  <c r="O17" i="12"/>
  <c r="O11" s="1"/>
  <c r="O18" s="1"/>
  <c r="P24" i="8"/>
  <c r="P6" i="14"/>
  <c r="P5" s="1"/>
  <c r="G5"/>
  <c r="U15" i="11"/>
  <c r="S15" i="7"/>
  <c r="S24" s="1"/>
  <c r="S14" i="8" s="1"/>
  <c r="S16" s="1"/>
  <c r="S29" s="1"/>
  <c r="S30" s="1"/>
  <c r="R25" i="7"/>
  <c r="R15" i="12" s="1"/>
  <c r="S21" i="13"/>
  <c r="V12" i="9"/>
  <c r="T18" i="13"/>
  <c r="X5" i="12"/>
  <c r="T6" i="9"/>
  <c r="R17" i="13" s="1"/>
  <c r="R19" s="1"/>
  <c r="S10" i="14" s="1"/>
  <c r="I33" i="10"/>
  <c r="I32" s="1"/>
  <c r="I24" s="1"/>
  <c r="I14" i="12"/>
  <c r="I7" i="14" s="1"/>
  <c r="Q19" i="11"/>
  <c r="T33" i="10"/>
  <c r="T32" s="1"/>
  <c r="T24" s="1"/>
  <c r="T14" i="12"/>
  <c r="T7" i="14" s="1"/>
  <c r="U13" i="9"/>
  <c r="T20" i="7"/>
  <c r="Q21" i="11"/>
  <c r="Q21" i="8"/>
  <c r="Q16" i="10"/>
  <c r="U16" i="12"/>
  <c r="P17"/>
  <c r="P11" s="1"/>
  <c r="P18" s="1"/>
  <c r="P11" i="10"/>
  <c r="P5" s="1"/>
  <c r="P37" s="1"/>
  <c r="X8"/>
  <c r="X6" s="1"/>
  <c r="X15"/>
  <c r="V15"/>
  <c r="V8"/>
  <c r="V6" s="1"/>
  <c r="V17" i="11"/>
  <c r="V13" i="8" s="1"/>
  <c r="V5" i="11"/>
  <c r="W6"/>
  <c r="W16" s="1"/>
  <c r="W7" i="10"/>
  <c r="G24" i="8"/>
  <c r="F30"/>
  <c r="F19" i="9" s="1"/>
  <c r="H24" i="7"/>
  <c r="R18" i="8"/>
  <c r="R19" s="1"/>
  <c r="R20" i="11"/>
  <c r="F21" i="8"/>
  <c r="F6" i="14" s="1"/>
  <c r="F18" i="8"/>
  <c r="I20" i="7"/>
  <c r="I24" s="1"/>
  <c r="I14" i="8" s="1"/>
  <c r="I16" s="1"/>
  <c r="I29" s="1"/>
  <c r="I7" i="9"/>
  <c r="J10"/>
  <c r="J9"/>
  <c r="V12" i="8"/>
  <c r="X6" i="11"/>
  <c r="C10" i="8"/>
  <c r="X21" i="7"/>
  <c r="C21" s="1"/>
  <c r="C22"/>
  <c r="H14" i="8" l="1"/>
  <c r="H16" s="1"/>
  <c r="H29" s="1"/>
  <c r="H18" i="9" s="1"/>
  <c r="S25" i="7"/>
  <c r="S14" i="11" s="1"/>
  <c r="S11" s="1"/>
  <c r="S18" s="1"/>
  <c r="U16" i="7"/>
  <c r="T10" i="13" s="1"/>
  <c r="T15" i="7"/>
  <c r="T25" s="1"/>
  <c r="W5" i="11"/>
  <c r="W17"/>
  <c r="W13" i="8" s="1"/>
  <c r="R12" i="10"/>
  <c r="R14" i="11"/>
  <c r="R11" s="1"/>
  <c r="R18" s="1"/>
  <c r="R19" s="1"/>
  <c r="F5" i="14"/>
  <c r="Q24" i="8"/>
  <c r="Q6" i="14"/>
  <c r="Q5" s="1"/>
  <c r="W12" i="9"/>
  <c r="V18" i="13" s="1"/>
  <c r="U18"/>
  <c r="T21"/>
  <c r="J33" i="10"/>
  <c r="J32" s="1"/>
  <c r="J24" s="1"/>
  <c r="J14" i="12"/>
  <c r="J7" i="14" s="1"/>
  <c r="C7" i="10"/>
  <c r="W6" i="12"/>
  <c r="U6" i="9"/>
  <c r="S17" i="13" s="1"/>
  <c r="S19" s="1"/>
  <c r="T10" i="14" s="1"/>
  <c r="U14" i="12"/>
  <c r="U7" i="14" s="1"/>
  <c r="U33" i="10"/>
  <c r="U32" s="1"/>
  <c r="U24" s="1"/>
  <c r="U20" i="7"/>
  <c r="V13" i="9"/>
  <c r="Q17" i="12"/>
  <c r="Q11" s="1"/>
  <c r="Q18" s="1"/>
  <c r="Q11" i="10"/>
  <c r="Q5" s="1"/>
  <c r="Q37" s="1"/>
  <c r="R21" i="8"/>
  <c r="R16" i="10"/>
  <c r="W15"/>
  <c r="C15" s="1"/>
  <c r="W8"/>
  <c r="C8" s="1"/>
  <c r="V15" i="11"/>
  <c r="V11" i="8"/>
  <c r="V14" i="10" s="1"/>
  <c r="I30" i="8"/>
  <c r="I19" i="9" s="1"/>
  <c r="I18"/>
  <c r="F24" i="8"/>
  <c r="F23"/>
  <c r="I18"/>
  <c r="I19" s="1"/>
  <c r="I20" i="11"/>
  <c r="I21" s="1"/>
  <c r="S18" i="8"/>
  <c r="S19" s="1"/>
  <c r="S20" i="11"/>
  <c r="J20" i="7"/>
  <c r="J24" s="1"/>
  <c r="J14" i="8" s="1"/>
  <c r="J16" s="1"/>
  <c r="J29" s="1"/>
  <c r="J7" i="9"/>
  <c r="K10"/>
  <c r="K9"/>
  <c r="X16" i="11"/>
  <c r="X5"/>
  <c r="X17"/>
  <c r="C6"/>
  <c r="W12" i="8"/>
  <c r="T24" i="7" l="1"/>
  <c r="T14" i="8" s="1"/>
  <c r="T16" s="1"/>
  <c r="T29" s="1"/>
  <c r="T30" s="1"/>
  <c r="S12" i="10"/>
  <c r="S15" i="12"/>
  <c r="U15" i="7"/>
  <c r="U24" s="1"/>
  <c r="U14" i="8" s="1"/>
  <c r="U16" s="1"/>
  <c r="U29" s="1"/>
  <c r="U30" s="1"/>
  <c r="V16" i="7"/>
  <c r="U10" i="13" s="1"/>
  <c r="W15" i="11"/>
  <c r="W11" i="8"/>
  <c r="W14" i="10" s="1"/>
  <c r="W16" i="12" s="1"/>
  <c r="C5" i="11"/>
  <c r="R24" i="8"/>
  <c r="R6" i="14"/>
  <c r="R5" s="1"/>
  <c r="R21" i="11"/>
  <c r="W6" i="10"/>
  <c r="C6" s="1"/>
  <c r="W5" i="12"/>
  <c r="C5" s="1"/>
  <c r="C6"/>
  <c r="V6" i="9"/>
  <c r="T17" i="13" s="1"/>
  <c r="T19" s="1"/>
  <c r="U10" i="14" s="1"/>
  <c r="U21" i="13"/>
  <c r="G22" i="8"/>
  <c r="G23" s="1"/>
  <c r="G25" s="1"/>
  <c r="G28" s="1"/>
  <c r="F24" i="13" s="1"/>
  <c r="E23"/>
  <c r="K14" i="12"/>
  <c r="K7" i="14" s="1"/>
  <c r="K33" i="10"/>
  <c r="K32" s="1"/>
  <c r="K24" s="1"/>
  <c r="S19" i="11"/>
  <c r="V33" i="10"/>
  <c r="V32" s="1"/>
  <c r="V24" s="1"/>
  <c r="V14" i="12"/>
  <c r="V7" i="14" s="1"/>
  <c r="W13" i="9"/>
  <c r="V20" i="7"/>
  <c r="T14" i="11"/>
  <c r="T11" s="1"/>
  <c r="T18" s="1"/>
  <c r="T12" i="10"/>
  <c r="T15" i="12"/>
  <c r="S21" i="11"/>
  <c r="R17" i="12"/>
  <c r="R11" s="1"/>
  <c r="R18" s="1"/>
  <c r="R11" i="10"/>
  <c r="R5" s="1"/>
  <c r="R37" s="1"/>
  <c r="I21" i="8"/>
  <c r="I16" i="10"/>
  <c r="V16" i="12"/>
  <c r="S21" i="8"/>
  <c r="S16" i="10"/>
  <c r="J30" i="8"/>
  <c r="J19" i="9" s="1"/>
  <c r="J18"/>
  <c r="H30" i="8"/>
  <c r="H19" i="9" s="1"/>
  <c r="F25" i="8"/>
  <c r="F28" s="1"/>
  <c r="E24" i="13" s="1"/>
  <c r="L9" i="9"/>
  <c r="L10"/>
  <c r="H18" i="8"/>
  <c r="H19" s="1"/>
  <c r="H20" i="11"/>
  <c r="H21" s="1"/>
  <c r="K20" i="7"/>
  <c r="K24" s="1"/>
  <c r="K14" i="8" s="1"/>
  <c r="K7" i="9"/>
  <c r="J20" i="11"/>
  <c r="J21" s="1"/>
  <c r="J18" i="8"/>
  <c r="J19" s="1"/>
  <c r="X15" i="11"/>
  <c r="X12" i="8"/>
  <c r="C16" i="11"/>
  <c r="X13" i="8"/>
  <c r="C13" s="1"/>
  <c r="C17" i="11"/>
  <c r="T20" l="1"/>
  <c r="T21" s="1"/>
  <c r="T18" i="8"/>
  <c r="T19" s="1"/>
  <c r="T16" i="10" s="1"/>
  <c r="U25" i="7"/>
  <c r="U12" i="10" s="1"/>
  <c r="V15" i="7"/>
  <c r="V24" s="1"/>
  <c r="V14" i="8" s="1"/>
  <c r="V16" s="1"/>
  <c r="V29" s="1"/>
  <c r="V30" s="1"/>
  <c r="W16" i="7"/>
  <c r="V10" i="13" s="1"/>
  <c r="H22" i="8"/>
  <c r="S24"/>
  <c r="S6" i="14"/>
  <c r="S5" s="1"/>
  <c r="I24" i="8"/>
  <c r="I6" i="14"/>
  <c r="I5" s="1"/>
  <c r="W6" i="9"/>
  <c r="U17" i="13" s="1"/>
  <c r="U19" s="1"/>
  <c r="V10" i="14" s="1"/>
  <c r="V21" i="13"/>
  <c r="E20"/>
  <c r="F23"/>
  <c r="L33" i="10"/>
  <c r="L32" s="1"/>
  <c r="L24" s="1"/>
  <c r="L14" i="12"/>
  <c r="L7" i="14" s="1"/>
  <c r="H22" i="11"/>
  <c r="I22" s="1"/>
  <c r="J22" s="1"/>
  <c r="T19"/>
  <c r="W14" i="12"/>
  <c r="W7" i="14" s="1"/>
  <c r="W33" i="10"/>
  <c r="W32" s="1"/>
  <c r="W24" s="1"/>
  <c r="X13" i="9"/>
  <c r="W20" i="7"/>
  <c r="S17" i="12"/>
  <c r="S11" s="1"/>
  <c r="S18" s="1"/>
  <c r="S11" i="10"/>
  <c r="S5" s="1"/>
  <c r="S37" s="1"/>
  <c r="I17" i="12"/>
  <c r="I11" s="1"/>
  <c r="I18" s="1"/>
  <c r="I11" i="10"/>
  <c r="I5" s="1"/>
  <c r="I37" s="1"/>
  <c r="J21" i="8"/>
  <c r="J16" i="10"/>
  <c r="H21" i="8"/>
  <c r="H16" i="10"/>
  <c r="K16" i="8"/>
  <c r="K29" s="1"/>
  <c r="K18" i="9" s="1"/>
  <c r="L20" i="7"/>
  <c r="L24" s="1"/>
  <c r="L7" i="9"/>
  <c r="M9"/>
  <c r="M10"/>
  <c r="N9" s="1"/>
  <c r="U20" i="11"/>
  <c r="U18" i="8"/>
  <c r="U19" s="1"/>
  <c r="X11"/>
  <c r="X14" i="10" s="1"/>
  <c r="X16" i="12" s="1"/>
  <c r="C12" i="8"/>
  <c r="C15" i="11"/>
  <c r="W15" i="7"/>
  <c r="T21" i="8" l="1"/>
  <c r="T6" i="14" s="1"/>
  <c r="T5" s="1"/>
  <c r="X16" i="7"/>
  <c r="W10" i="13" s="1"/>
  <c r="L14" i="8"/>
  <c r="L16" s="1"/>
  <c r="L29" s="1"/>
  <c r="L18" i="9" s="1"/>
  <c r="V25" i="7"/>
  <c r="V15" i="12" s="1"/>
  <c r="U14" i="11"/>
  <c r="U11" s="1"/>
  <c r="U18" s="1"/>
  <c r="U21" s="1"/>
  <c r="U15" i="12"/>
  <c r="J24" i="8"/>
  <c r="J6" i="14"/>
  <c r="J5" s="1"/>
  <c r="H23" i="8"/>
  <c r="H6" i="14"/>
  <c r="E13" i="13"/>
  <c r="F9" i="14"/>
  <c r="X6" i="9"/>
  <c r="N33" i="10"/>
  <c r="N32" s="1"/>
  <c r="N24" s="1"/>
  <c r="N14" i="12"/>
  <c r="N7" i="14" s="1"/>
  <c r="W21" i="13"/>
  <c r="M33" i="10"/>
  <c r="M32" s="1"/>
  <c r="M24" s="1"/>
  <c r="M14" i="12"/>
  <c r="M7" i="14" s="1"/>
  <c r="F20" i="13"/>
  <c r="X33" i="10"/>
  <c r="X14" i="12"/>
  <c r="X7" i="14" s="1"/>
  <c r="X20" i="7"/>
  <c r="C13" i="9"/>
  <c r="J17" i="12"/>
  <c r="J11" s="1"/>
  <c r="J18" s="1"/>
  <c r="J11" i="10"/>
  <c r="J5" s="1"/>
  <c r="J37" s="1"/>
  <c r="H17" i="12"/>
  <c r="H11" i="10"/>
  <c r="H5" s="1"/>
  <c r="H37" s="1"/>
  <c r="H38" s="1"/>
  <c r="U21" i="8"/>
  <c r="U16" i="10"/>
  <c r="T17" i="12"/>
  <c r="T11" s="1"/>
  <c r="T18" s="1"/>
  <c r="T11" i="10"/>
  <c r="T5" s="1"/>
  <c r="T37" s="1"/>
  <c r="H24" i="8"/>
  <c r="I22" s="1"/>
  <c r="C14" i="10"/>
  <c r="K30" i="8"/>
  <c r="K19" i="9" s="1"/>
  <c r="V18" i="8"/>
  <c r="V19" s="1"/>
  <c r="V20" i="11"/>
  <c r="K18" i="8"/>
  <c r="K19" s="1"/>
  <c r="K20" i="11"/>
  <c r="K21" s="1"/>
  <c r="M20" i="7"/>
  <c r="M24" s="1"/>
  <c r="M14" i="8" s="1"/>
  <c r="M16" s="1"/>
  <c r="M29" s="1"/>
  <c r="M7" i="9"/>
  <c r="N20" i="7"/>
  <c r="N7" i="9"/>
  <c r="C11" i="8"/>
  <c r="H11" i="2"/>
  <c r="W25" i="7"/>
  <c r="W24"/>
  <c r="W14" i="8" s="1"/>
  <c r="W16" s="1"/>
  <c r="W29" s="1"/>
  <c r="W30" s="1"/>
  <c r="T24" l="1"/>
  <c r="X15" i="7"/>
  <c r="X25" s="1"/>
  <c r="X14" i="11" s="1"/>
  <c r="L20"/>
  <c r="L21" s="1"/>
  <c r="L30" i="8"/>
  <c r="L19" i="9" s="1"/>
  <c r="L18" i="8"/>
  <c r="L19" s="1"/>
  <c r="L16" i="10" s="1"/>
  <c r="V14" i="11"/>
  <c r="V11" s="1"/>
  <c r="V18" s="1"/>
  <c r="V21" s="1"/>
  <c r="U19"/>
  <c r="V12" i="10"/>
  <c r="F13" i="13"/>
  <c r="G9" i="14"/>
  <c r="K22" i="11"/>
  <c r="H5" i="14"/>
  <c r="C7"/>
  <c r="U24" i="8"/>
  <c r="U6" i="14"/>
  <c r="U5" s="1"/>
  <c r="W19" i="13"/>
  <c r="V17"/>
  <c r="V19" s="1"/>
  <c r="W10" i="14" s="1"/>
  <c r="G23" i="13"/>
  <c r="C14" i="12"/>
  <c r="I38" i="10"/>
  <c r="H7" i="13" s="1"/>
  <c r="H6" s="1"/>
  <c r="H5" s="1"/>
  <c r="H26" s="1"/>
  <c r="G7"/>
  <c r="G6" s="1"/>
  <c r="G5" s="1"/>
  <c r="G26" s="1"/>
  <c r="H25" i="8"/>
  <c r="H28" s="1"/>
  <c r="G24" i="13" s="1"/>
  <c r="X32" i="10"/>
  <c r="C33"/>
  <c r="I23" i="8"/>
  <c r="I25" s="1"/>
  <c r="I28" s="1"/>
  <c r="H24" i="13" s="1"/>
  <c r="J22" i="8"/>
  <c r="K22" s="1"/>
  <c r="W14" i="11"/>
  <c r="W11" s="1"/>
  <c r="W18" s="1"/>
  <c r="W12" i="10"/>
  <c r="W15" i="12"/>
  <c r="H11"/>
  <c r="H18" s="1"/>
  <c r="K21" i="8"/>
  <c r="K6" i="14" s="1"/>
  <c r="K5" s="1"/>
  <c r="K16" i="10"/>
  <c r="V21" i="8"/>
  <c r="V16" i="10"/>
  <c r="U17" i="12"/>
  <c r="U11" s="1"/>
  <c r="U18" s="1"/>
  <c r="U11" i="10"/>
  <c r="U5" s="1"/>
  <c r="U37" s="1"/>
  <c r="M30" i="8"/>
  <c r="M19" i="9" s="1"/>
  <c r="M18"/>
  <c r="N24" i="7"/>
  <c r="N14" i="8" s="1"/>
  <c r="N16" s="1"/>
  <c r="N29" s="1"/>
  <c r="C20" i="7"/>
  <c r="W18" i="8"/>
  <c r="W19" s="1"/>
  <c r="W20" i="11"/>
  <c r="M18" i="8"/>
  <c r="M19" s="1"/>
  <c r="M20" i="11"/>
  <c r="M21" s="1"/>
  <c r="L21" i="8" l="1"/>
  <c r="L6" i="14" s="1"/>
  <c r="C25" i="7"/>
  <c r="X15" i="12"/>
  <c r="C15" s="1"/>
  <c r="X12" i="10"/>
  <c r="C12" s="1"/>
  <c r="C15" i="7"/>
  <c r="C24" s="1"/>
  <c r="X24"/>
  <c r="X14" i="8" s="1"/>
  <c r="X16" s="1"/>
  <c r="L22" i="11"/>
  <c r="M22" s="1"/>
  <c r="V19"/>
  <c r="W19" s="1"/>
  <c r="V24" i="8"/>
  <c r="V6" i="14"/>
  <c r="V5" s="1"/>
  <c r="H23" i="13"/>
  <c r="G20"/>
  <c r="J38" i="10"/>
  <c r="I7" i="13" s="1"/>
  <c r="I6" s="1"/>
  <c r="I5" s="1"/>
  <c r="I26" s="1"/>
  <c r="X24" i="10"/>
  <c r="C24" s="1"/>
  <c r="C32"/>
  <c r="J23" i="8"/>
  <c r="J25" s="1"/>
  <c r="J28" s="1"/>
  <c r="I24" i="13" s="1"/>
  <c r="W21" i="11"/>
  <c r="K23" i="8"/>
  <c r="L17" i="12"/>
  <c r="L11" s="1"/>
  <c r="L18" s="1"/>
  <c r="L11" i="10"/>
  <c r="L5" s="1"/>
  <c r="L37" s="1"/>
  <c r="K17" i="12"/>
  <c r="K11" i="10"/>
  <c r="K5" s="1"/>
  <c r="V17" i="12"/>
  <c r="V11" s="1"/>
  <c r="V18" s="1"/>
  <c r="V11" i="10"/>
  <c r="V5" s="1"/>
  <c r="V37" s="1"/>
  <c r="K24" i="8"/>
  <c r="L22" s="1"/>
  <c r="M21"/>
  <c r="M16" i="10"/>
  <c r="W21" i="8"/>
  <c r="W16" i="10"/>
  <c r="N30" i="8"/>
  <c r="N19" i="9" s="1"/>
  <c r="N18"/>
  <c r="N18" i="8"/>
  <c r="N19" s="1"/>
  <c r="N20" i="11"/>
  <c r="N21" s="1"/>
  <c r="C14"/>
  <c r="C11" s="1"/>
  <c r="C18" s="1"/>
  <c r="X11"/>
  <c r="X18" s="1"/>
  <c r="H17" i="2" s="1"/>
  <c r="L24" i="8" l="1"/>
  <c r="M22" s="1"/>
  <c r="X20" i="11"/>
  <c r="C20" s="1"/>
  <c r="X18" i="8"/>
  <c r="X19" s="1"/>
  <c r="X16" i="10" s="1"/>
  <c r="X17" i="12" s="1"/>
  <c r="H10" i="2"/>
  <c r="C14" i="8"/>
  <c r="X29"/>
  <c r="X30" s="1"/>
  <c r="C30" s="1"/>
  <c r="C16"/>
  <c r="H12" i="2" s="1"/>
  <c r="L5" i="14"/>
  <c r="W24" i="8"/>
  <c r="W6" i="14"/>
  <c r="W5" s="1"/>
  <c r="M24" i="8"/>
  <c r="M6" i="14"/>
  <c r="M5" s="1"/>
  <c r="G13" i="13"/>
  <c r="H9" i="14"/>
  <c r="I23" i="13"/>
  <c r="H20"/>
  <c r="H15" i="2"/>
  <c r="K11" i="12"/>
  <c r="K18" s="1"/>
  <c r="K37" i="10"/>
  <c r="L23" i="8"/>
  <c r="M17" i="12"/>
  <c r="M11" s="1"/>
  <c r="M18" s="1"/>
  <c r="M11" i="10"/>
  <c r="M5" s="1"/>
  <c r="M37" s="1"/>
  <c r="W17" i="12"/>
  <c r="W11" s="1"/>
  <c r="W18" s="1"/>
  <c r="W11" i="10"/>
  <c r="W5" s="1"/>
  <c r="W37" s="1"/>
  <c r="N21" i="8"/>
  <c r="N6" i="14" s="1"/>
  <c r="N5" s="1"/>
  <c r="N16" i="10"/>
  <c r="K25" i="8"/>
  <c r="K28" s="1"/>
  <c r="J24" i="13" s="1"/>
  <c r="N22" i="11"/>
  <c r="X19"/>
  <c r="H13" i="2" s="1"/>
  <c r="C29" i="8" l="1"/>
  <c r="H21" i="2" s="1"/>
  <c r="L25" i="8"/>
  <c r="L28" s="1"/>
  <c r="K24" i="13" s="1"/>
  <c r="C18" i="8"/>
  <c r="H22" i="2" s="1"/>
  <c r="X11" i="10"/>
  <c r="X5" s="1"/>
  <c r="X37" s="1"/>
  <c r="X21" i="11"/>
  <c r="H18" i="2" s="1"/>
  <c r="X21" i="8"/>
  <c r="X6" i="14" s="1"/>
  <c r="X5" s="1"/>
  <c r="C16" i="10"/>
  <c r="C11" s="1"/>
  <c r="C19" i="8"/>
  <c r="H25" i="2" s="1"/>
  <c r="N22" i="8"/>
  <c r="N23" s="1"/>
  <c r="M23"/>
  <c r="M25" s="1"/>
  <c r="M28" s="1"/>
  <c r="L24" i="13" s="1"/>
  <c r="H13"/>
  <c r="I9" i="14"/>
  <c r="J23" i="13"/>
  <c r="I20"/>
  <c r="C19" i="11"/>
  <c r="O22"/>
  <c r="P22" s="1"/>
  <c r="Q22" s="1"/>
  <c r="R22" s="1"/>
  <c r="S22" s="1"/>
  <c r="T22" s="1"/>
  <c r="U22" s="1"/>
  <c r="V22" s="1"/>
  <c r="W22" s="1"/>
  <c r="X11" i="12"/>
  <c r="X18" s="1"/>
  <c r="N24" i="8"/>
  <c r="N17" i="12"/>
  <c r="N11" s="1"/>
  <c r="N18" s="1"/>
  <c r="N11" i="10"/>
  <c r="N5" s="1"/>
  <c r="K38"/>
  <c r="X22" i="11" l="1"/>
  <c r="C22" s="1"/>
  <c r="C21"/>
  <c r="C6" i="14"/>
  <c r="C5" s="1"/>
  <c r="C21" i="8"/>
  <c r="H23" i="2" s="1"/>
  <c r="X24" i="8"/>
  <c r="C24" s="1"/>
  <c r="H16" i="2"/>
  <c r="O22" i="8"/>
  <c r="P22" s="1"/>
  <c r="Q22" s="1"/>
  <c r="I13" i="13"/>
  <c r="J9" i="14"/>
  <c r="K23" i="13"/>
  <c r="J20"/>
  <c r="H20" i="2"/>
  <c r="L38" i="10"/>
  <c r="J7" i="13"/>
  <c r="J6" s="1"/>
  <c r="J5" s="1"/>
  <c r="J26" s="1"/>
  <c r="C18" i="12"/>
  <c r="H19" i="2"/>
  <c r="C17" i="12"/>
  <c r="N37" i="10"/>
  <c r="C5"/>
  <c r="C16" i="12"/>
  <c r="N25" i="8"/>
  <c r="N28" s="1"/>
  <c r="M24" i="13" s="1"/>
  <c r="H14" i="2" l="1"/>
  <c r="O23" i="8"/>
  <c r="O25" s="1"/>
  <c r="O28" s="1"/>
  <c r="N24" i="13" s="1"/>
  <c r="J13"/>
  <c r="K9" i="14"/>
  <c r="L23" i="13"/>
  <c r="K20"/>
  <c r="P23" i="8"/>
  <c r="P25" s="1"/>
  <c r="P28" s="1"/>
  <c r="O24" i="13" s="1"/>
  <c r="M38" i="10"/>
  <c r="L7" i="13" s="1"/>
  <c r="L6" s="1"/>
  <c r="L5" s="1"/>
  <c r="L26" s="1"/>
  <c r="K7"/>
  <c r="K6" s="1"/>
  <c r="K5" s="1"/>
  <c r="K26" s="1"/>
  <c r="C37" i="10"/>
  <c r="Q23" i="8"/>
  <c r="Q25" s="1"/>
  <c r="Q28" s="1"/>
  <c r="P24" i="13" s="1"/>
  <c r="R22" i="8"/>
  <c r="K13" i="13" l="1"/>
  <c r="L9" i="14"/>
  <c r="M23" i="13"/>
  <c r="L20"/>
  <c r="N38" i="10"/>
  <c r="S22" i="8"/>
  <c r="R23"/>
  <c r="R25" s="1"/>
  <c r="R28" s="1"/>
  <c r="Q24" i="13" s="1"/>
  <c r="L13" l="1"/>
  <c r="M9" i="14"/>
  <c r="N23" i="13"/>
  <c r="M20"/>
  <c r="O38" i="10"/>
  <c r="M7" i="13"/>
  <c r="M6" s="1"/>
  <c r="M5" s="1"/>
  <c r="M26" s="1"/>
  <c r="S23" i="8"/>
  <c r="S25" s="1"/>
  <c r="S28" s="1"/>
  <c r="R24" i="13" s="1"/>
  <c r="T22" i="8"/>
  <c r="M13" i="13" l="1"/>
  <c r="N9" i="14"/>
  <c r="O23" i="13"/>
  <c r="N20"/>
  <c r="P38" i="10"/>
  <c r="N7" i="13"/>
  <c r="N6" s="1"/>
  <c r="N5" s="1"/>
  <c r="N26" s="1"/>
  <c r="T23" i="8"/>
  <c r="T25" s="1"/>
  <c r="T28" s="1"/>
  <c r="S24" i="13" s="1"/>
  <c r="U22" i="8"/>
  <c r="N13" i="13" l="1"/>
  <c r="O9" i="14"/>
  <c r="P23" i="13"/>
  <c r="O20"/>
  <c r="Q38" i="10"/>
  <c r="O7" i="13"/>
  <c r="O6" s="1"/>
  <c r="O5" s="1"/>
  <c r="O26" s="1"/>
  <c r="V22" i="8"/>
  <c r="U23"/>
  <c r="U25" s="1"/>
  <c r="U28" s="1"/>
  <c r="T24" i="13" s="1"/>
  <c r="O13" l="1"/>
  <c r="P9" i="14"/>
  <c r="Q23" i="13"/>
  <c r="P20"/>
  <c r="R38" i="10"/>
  <c r="P7" i="13"/>
  <c r="P6" s="1"/>
  <c r="P5" s="1"/>
  <c r="P26" s="1"/>
  <c r="W22" i="8"/>
  <c r="V23"/>
  <c r="V25" s="1"/>
  <c r="V28" s="1"/>
  <c r="U24" i="13" s="1"/>
  <c r="P13" l="1"/>
  <c r="Q9" i="14"/>
  <c r="R23" i="13"/>
  <c r="Q20"/>
  <c r="S38" i="10"/>
  <c r="Q7" i="13"/>
  <c r="Q6" s="1"/>
  <c r="Q5" s="1"/>
  <c r="Q26" s="1"/>
  <c r="W23" i="8"/>
  <c r="W25" s="1"/>
  <c r="W28" s="1"/>
  <c r="V24" i="13" s="1"/>
  <c r="X22" i="8"/>
  <c r="X23" s="1"/>
  <c r="X25" s="1"/>
  <c r="X28" s="1"/>
  <c r="W24" i="13" s="1"/>
  <c r="Q13" l="1"/>
  <c r="R9" i="14"/>
  <c r="S23" i="13"/>
  <c r="R20"/>
  <c r="T38" i="10"/>
  <c r="R7" i="13"/>
  <c r="R6" s="1"/>
  <c r="R5" s="1"/>
  <c r="R26" s="1"/>
  <c r="R13" l="1"/>
  <c r="S9" i="14"/>
  <c r="T23" i="13"/>
  <c r="S20"/>
  <c r="U38" i="10"/>
  <c r="S7" i="13"/>
  <c r="S6" s="1"/>
  <c r="S5" s="1"/>
  <c r="S26" s="1"/>
  <c r="S13" l="1"/>
  <c r="T9" i="14"/>
  <c r="T20" i="13"/>
  <c r="U23"/>
  <c r="V38" i="10"/>
  <c r="T7" i="13"/>
  <c r="T6" s="1"/>
  <c r="T5" s="1"/>
  <c r="T26" s="1"/>
  <c r="T13" l="1"/>
  <c r="U9" i="14"/>
  <c r="U20" i="13"/>
  <c r="V23"/>
  <c r="W38" i="10"/>
  <c r="U7" i="13"/>
  <c r="U6" s="1"/>
  <c r="U5" s="1"/>
  <c r="U26" s="1"/>
  <c r="U13" l="1"/>
  <c r="V9" i="14"/>
  <c r="W23" i="13"/>
  <c r="W20" s="1"/>
  <c r="V20"/>
  <c r="X38" i="10"/>
  <c r="W7" i="13" s="1"/>
  <c r="W6" s="1"/>
  <c r="W5" s="1"/>
  <c r="W26" s="1"/>
  <c r="V7"/>
  <c r="V6" s="1"/>
  <c r="V5" s="1"/>
  <c r="V26" s="1"/>
  <c r="H24" i="2" l="1"/>
  <c r="V13" i="13"/>
  <c r="W9" i="14"/>
  <c r="W13" i="13"/>
  <c r="X9" i="14"/>
</calcChain>
</file>

<file path=xl/sharedStrings.xml><?xml version="1.0" encoding="utf-8"?>
<sst xmlns="http://schemas.openxmlformats.org/spreadsheetml/2006/main" count="604" uniqueCount="306">
  <si>
    <t>序号</t>
  </si>
  <si>
    <t>项目名称</t>
  </si>
  <si>
    <t>单位</t>
  </si>
  <si>
    <t>静态投资</t>
  </si>
  <si>
    <t>万元</t>
  </si>
  <si>
    <t>建设期利息</t>
  </si>
  <si>
    <t>元/kWh</t>
  </si>
  <si>
    <t>%</t>
  </si>
  <si>
    <t>金额</t>
  </si>
  <si>
    <r>
      <t>设备增值税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建安增值税</t>
    </r>
  </si>
  <si>
    <r>
      <t>固定资产（</t>
    </r>
    <r>
      <rPr>
        <sz val="10.5"/>
        <color rgb="FF000000"/>
        <rFont val="Times New Roman"/>
        <family val="1"/>
      </rPr>
      <t>1+2-3</t>
    </r>
    <r>
      <rPr>
        <sz val="10.5"/>
        <color rgb="FF000000"/>
        <rFont val="宋体"/>
        <family val="3"/>
        <charset val="134"/>
      </rPr>
      <t>）</t>
    </r>
  </si>
  <si>
    <t>项目</t>
  </si>
  <si>
    <t>流动资金</t>
  </si>
  <si>
    <t>节约电费</t>
  </si>
  <si>
    <t>总成本费用</t>
  </si>
  <si>
    <t>营业税金附加总额</t>
  </si>
  <si>
    <t>发电利润总额</t>
  </si>
  <si>
    <t>项目投资回收期（所得税前）</t>
  </si>
  <si>
    <t>年</t>
  </si>
  <si>
    <t>项目投资回收期（所得税后）</t>
  </si>
  <si>
    <t>项目投资财务内部收益率（所得税前）</t>
  </si>
  <si>
    <t>项目投资财务内部收益率（所得税后）</t>
  </si>
  <si>
    <t>项目投资财务净现值（所得税前）</t>
  </si>
  <si>
    <t>项目投资财务净现值（所得税后）</t>
  </si>
  <si>
    <t>资本金财务内部收益率</t>
  </si>
  <si>
    <t>资本金财务净现值</t>
  </si>
  <si>
    <t>总投资收益率（ROI）</t>
  </si>
  <si>
    <t>投资利税率</t>
  </si>
  <si>
    <t>项目资本金净利润率（ROE）</t>
  </si>
  <si>
    <t>资产负债率（最大值）</t>
  </si>
  <si>
    <t>合计</t>
  </si>
  <si>
    <t>建设投资</t>
  </si>
  <si>
    <t>2.1.1</t>
  </si>
  <si>
    <t>2.1.2</t>
  </si>
  <si>
    <t>2.2.1</t>
  </si>
  <si>
    <t>长期借款</t>
  </si>
  <si>
    <t>2.2.2</t>
  </si>
  <si>
    <t>流动资金借款</t>
  </si>
  <si>
    <t>建设期</t>
  </si>
  <si>
    <t>运行期</t>
  </si>
  <si>
    <t>第1年</t>
  </si>
  <si>
    <t>第2年</t>
  </si>
  <si>
    <t>第3年</t>
  </si>
  <si>
    <t>第4年</t>
  </si>
  <si>
    <t>第5年</t>
  </si>
  <si>
    <t>第6年</t>
  </si>
  <si>
    <t>第7年</t>
  </si>
  <si>
    <t>第8年</t>
  </si>
  <si>
    <t>第9年</t>
  </si>
  <si>
    <t>第10年</t>
  </si>
  <si>
    <t>利息支出</t>
  </si>
  <si>
    <t>经营成本</t>
  </si>
  <si>
    <t>电价（不含增值税）（元/kWh）</t>
  </si>
  <si>
    <t>电价（含增值税）（元/kWh）</t>
  </si>
  <si>
    <t>营业收入</t>
  </si>
  <si>
    <t>营业税金附加</t>
  </si>
  <si>
    <t>城市维护建设税</t>
  </si>
  <si>
    <t>教育费附加</t>
  </si>
  <si>
    <t>补贴收入（应税）</t>
  </si>
  <si>
    <t>利润总额（1-2-3+4）</t>
  </si>
  <si>
    <t>弥补以前年度亏损</t>
  </si>
  <si>
    <t>应纳税所得额（5-6）</t>
  </si>
  <si>
    <t>所得税</t>
  </si>
  <si>
    <t>补贴收入（免税）</t>
  </si>
  <si>
    <t>净利润（5-8+9）</t>
  </si>
  <si>
    <t>期初未分配的利润</t>
  </si>
  <si>
    <t>可供分配的利润（10+11）</t>
  </si>
  <si>
    <t>提取法定盈余公积金</t>
  </si>
  <si>
    <t>可供投资者分配的利润（12-13）</t>
  </si>
  <si>
    <t>提取任意盈余公积金</t>
  </si>
  <si>
    <t>应付利润</t>
  </si>
  <si>
    <t>未分配利润（14-15-16）</t>
  </si>
  <si>
    <t>息税前利润（利润总额+利息支出）</t>
  </si>
  <si>
    <t>息税折旧摊销前利润</t>
  </si>
  <si>
    <t>年初借款余额</t>
  </si>
  <si>
    <t>当期还本付息</t>
  </si>
  <si>
    <t>1.2.1</t>
  </si>
  <si>
    <t>本年还本</t>
  </si>
  <si>
    <t>1.2.2</t>
  </si>
  <si>
    <t>本年付息</t>
  </si>
  <si>
    <t>期末借款余额</t>
  </si>
  <si>
    <t>流动资金借款累计</t>
  </si>
  <si>
    <t>流动资金利息</t>
  </si>
  <si>
    <t>偿还流动资金借款本金</t>
  </si>
  <si>
    <t>短期借款</t>
  </si>
  <si>
    <t>偿还短期借款本金</t>
  </si>
  <si>
    <t>短期借款利息</t>
  </si>
  <si>
    <t>计算指标</t>
  </si>
  <si>
    <t>利息备付率</t>
  </si>
  <si>
    <t>偿债备付率</t>
  </si>
  <si>
    <t>经营活动净现金流量</t>
  </si>
  <si>
    <t>现金流入</t>
  </si>
  <si>
    <t>1.1.1</t>
  </si>
  <si>
    <t>1.1.2</t>
  </si>
  <si>
    <t>增值税销项税额</t>
  </si>
  <si>
    <t>1.1.3</t>
  </si>
  <si>
    <t>补贴收入（不含增值税优惠）</t>
  </si>
  <si>
    <t>1.1.4</t>
  </si>
  <si>
    <t>其他流入</t>
  </si>
  <si>
    <t>现金流出</t>
  </si>
  <si>
    <t>增值税进项税额</t>
  </si>
  <si>
    <t>1.2.3</t>
  </si>
  <si>
    <t>1.2.4</t>
  </si>
  <si>
    <t>增值税</t>
  </si>
  <si>
    <t>1.2.5</t>
  </si>
  <si>
    <t>1.2.6</t>
  </si>
  <si>
    <t>其他流出</t>
  </si>
  <si>
    <t>投资活动净现金流量</t>
  </si>
  <si>
    <t>2.2.3</t>
  </si>
  <si>
    <t>筹资活动净现金流量</t>
  </si>
  <si>
    <t>3.1.1</t>
  </si>
  <si>
    <t>项目资本金投入</t>
  </si>
  <si>
    <t>3.1.2</t>
  </si>
  <si>
    <t>建设投资借款</t>
  </si>
  <si>
    <t>3.1.3</t>
  </si>
  <si>
    <t>3.1.4</t>
  </si>
  <si>
    <t>债券</t>
  </si>
  <si>
    <t>3.1.5</t>
  </si>
  <si>
    <t>3.1.6</t>
  </si>
  <si>
    <t>3.2.1</t>
  </si>
  <si>
    <t>各种利息支出</t>
  </si>
  <si>
    <t>3.2.2</t>
  </si>
  <si>
    <t>偿还债务本金</t>
  </si>
  <si>
    <t>3.2.3</t>
  </si>
  <si>
    <t>应付利润（股利分配）</t>
  </si>
  <si>
    <t>3.2.4</t>
  </si>
  <si>
    <t>净现金流量</t>
  </si>
  <si>
    <t>累计盈余资金</t>
  </si>
  <si>
    <t>补贴收入</t>
  </si>
  <si>
    <t>固定资产增值税抵扣</t>
  </si>
  <si>
    <t>回收固定资产余值</t>
  </si>
  <si>
    <t>回收流动资金</t>
  </si>
  <si>
    <t>所得税前净现金流量（1-2）</t>
  </si>
  <si>
    <t>累计所得税前净现金流量</t>
  </si>
  <si>
    <t>调整所得税</t>
  </si>
  <si>
    <t>所得税后净现金流量（3-5）</t>
  </si>
  <si>
    <t>累计所得税后净现金流量</t>
  </si>
  <si>
    <t>项目资本金</t>
  </si>
  <si>
    <t>借款本金偿还</t>
  </si>
  <si>
    <t>借款利息支付</t>
  </si>
  <si>
    <t>净现金流量（1-2）</t>
  </si>
  <si>
    <t>资产</t>
  </si>
  <si>
    <t>流动资产总额</t>
  </si>
  <si>
    <t>流动资产</t>
  </si>
  <si>
    <t>在建工程</t>
  </si>
  <si>
    <t>固定资产净值</t>
  </si>
  <si>
    <t>无形及其他资产净值</t>
  </si>
  <si>
    <t>可抵扣增值税形成资产</t>
  </si>
  <si>
    <t>负债及所有者权益（2.4+2.5）</t>
  </si>
  <si>
    <t>流动负债总额</t>
  </si>
  <si>
    <t>本年短期借款</t>
  </si>
  <si>
    <t>其他</t>
  </si>
  <si>
    <t>负债小计（2.1+2.2+2.3）</t>
  </si>
  <si>
    <t>所有者权益</t>
  </si>
  <si>
    <t>2.5.1</t>
  </si>
  <si>
    <t>资本金</t>
  </si>
  <si>
    <t>2.5.2</t>
  </si>
  <si>
    <t>资本公积</t>
  </si>
  <si>
    <t>2.5.3</t>
  </si>
  <si>
    <t>累计盈余公积金</t>
  </si>
  <si>
    <t>2.5.4</t>
  </si>
  <si>
    <t>累计未分配利润</t>
  </si>
  <si>
    <t>资产负债平衡</t>
  </si>
  <si>
    <t>资产负债率（%）</t>
  </si>
  <si>
    <t>税后净营业利润</t>
  </si>
  <si>
    <t>净利润</t>
  </si>
  <si>
    <t>资本成本</t>
  </si>
  <si>
    <t>负债小计</t>
  </si>
  <si>
    <t>EVA</t>
  </si>
  <si>
    <t>△EVA</t>
  </si>
  <si>
    <t>设备购置费
（万元）</t>
    <phoneticPr fontId="1" type="noConversion"/>
  </si>
  <si>
    <t>安装工程费
（万元）</t>
    <phoneticPr fontId="1" type="noConversion"/>
  </si>
  <si>
    <t>系统效率</t>
    <phoneticPr fontId="1" type="noConversion"/>
  </si>
  <si>
    <t>建筑工程
（万元）</t>
    <phoneticPr fontId="1" type="noConversion"/>
  </si>
  <si>
    <t>其它费</t>
    <phoneticPr fontId="1" type="noConversion"/>
  </si>
  <si>
    <t>流动资金</t>
    <phoneticPr fontId="1" type="noConversion"/>
  </si>
  <si>
    <t>材料费</t>
    <phoneticPr fontId="1" type="noConversion"/>
  </si>
  <si>
    <t>元/kWh</t>
    <phoneticPr fontId="1" type="noConversion"/>
  </si>
  <si>
    <t>基础数据</t>
    <phoneticPr fontId="1" type="noConversion"/>
  </si>
  <si>
    <t>序号</t>
    <phoneticPr fontId="1" type="noConversion"/>
  </si>
  <si>
    <t>项目</t>
    <phoneticPr fontId="1" type="noConversion"/>
  </si>
  <si>
    <t>单位</t>
    <phoneticPr fontId="1" type="noConversion"/>
  </si>
  <si>
    <t>数值</t>
    <phoneticPr fontId="1" type="noConversion"/>
  </si>
  <si>
    <t>建设规模</t>
    <phoneticPr fontId="1" type="noConversion"/>
  </si>
  <si>
    <t>MWp</t>
    <phoneticPr fontId="1" type="noConversion"/>
  </si>
  <si>
    <t>斜面总辐射值</t>
    <phoneticPr fontId="1" type="noConversion"/>
  </si>
  <si>
    <t>KWh/㎡</t>
    <phoneticPr fontId="1" type="noConversion"/>
  </si>
  <si>
    <t>静态投资</t>
    <phoneticPr fontId="1" type="noConversion"/>
  </si>
  <si>
    <t>元/kWp</t>
    <phoneticPr fontId="1" type="noConversion"/>
  </si>
  <si>
    <t>建设工期</t>
    <phoneticPr fontId="1" type="noConversion"/>
  </si>
  <si>
    <t>月</t>
    <phoneticPr fontId="1" type="noConversion"/>
  </si>
  <si>
    <t>资本金比例</t>
    <phoneticPr fontId="1" type="noConversion"/>
  </si>
  <si>
    <t>%</t>
    <phoneticPr fontId="1" type="noConversion"/>
  </si>
  <si>
    <t>长期贷款利率</t>
    <phoneticPr fontId="1" type="noConversion"/>
  </si>
  <si>
    <t>还款年限</t>
    <phoneticPr fontId="1" type="noConversion"/>
  </si>
  <si>
    <t>年</t>
    <phoneticPr fontId="1" type="noConversion"/>
  </si>
  <si>
    <t>系统效率</t>
    <phoneticPr fontId="1" type="noConversion"/>
  </si>
  <si>
    <t>流动资金贷款比例</t>
    <phoneticPr fontId="1" type="noConversion"/>
  </si>
  <si>
    <t>运维人数</t>
    <phoneticPr fontId="1" type="noConversion"/>
  </si>
  <si>
    <t>人</t>
    <phoneticPr fontId="1" type="noConversion"/>
  </si>
  <si>
    <t>运维材料费</t>
    <phoneticPr fontId="1" type="noConversion"/>
  </si>
  <si>
    <t>运维其它费</t>
    <phoneticPr fontId="1" type="noConversion"/>
  </si>
  <si>
    <t>运营期电价（不含税）</t>
    <phoneticPr fontId="1" type="noConversion"/>
  </si>
  <si>
    <t>运营期电价（含税）</t>
    <phoneticPr fontId="1" type="noConversion"/>
  </si>
  <si>
    <t>财务评价指标</t>
    <phoneticPr fontId="1" type="noConversion"/>
  </si>
  <si>
    <t>评价期</t>
    <phoneticPr fontId="1" type="noConversion"/>
  </si>
  <si>
    <t>折旧年限</t>
    <phoneticPr fontId="1" type="noConversion"/>
  </si>
  <si>
    <t>项目</t>
    <phoneticPr fontId="1" type="noConversion"/>
  </si>
  <si>
    <t>年均上网电量</t>
    <phoneticPr fontId="1" type="noConversion"/>
  </si>
  <si>
    <t>MWh</t>
    <phoneticPr fontId="1" type="noConversion"/>
  </si>
  <si>
    <t>光伏发电项目投资收益率测算表</t>
    <phoneticPr fontId="1" type="noConversion"/>
  </si>
  <si>
    <t>总投资</t>
    <phoneticPr fontId="1" type="noConversion"/>
  </si>
  <si>
    <t>万元</t>
    <phoneticPr fontId="1" type="noConversion"/>
  </si>
  <si>
    <t>土地租赁费</t>
    <phoneticPr fontId="1" type="noConversion"/>
  </si>
  <si>
    <t>元/亩</t>
    <phoneticPr fontId="1" type="noConversion"/>
  </si>
  <si>
    <t>序号</t>
    <phoneticPr fontId="1" type="noConversion"/>
  </si>
  <si>
    <t>项目</t>
    <phoneticPr fontId="1" type="noConversion"/>
  </si>
  <si>
    <t>合计</t>
    <phoneticPr fontId="1" type="noConversion"/>
  </si>
  <si>
    <t>计算期</t>
    <phoneticPr fontId="1" type="noConversion"/>
  </si>
  <si>
    <t>项目总投资</t>
    <phoneticPr fontId="1" type="noConversion"/>
  </si>
  <si>
    <t>建设投资</t>
    <phoneticPr fontId="1" type="noConversion"/>
  </si>
  <si>
    <t>建设期利息</t>
    <phoneticPr fontId="1" type="noConversion"/>
  </si>
  <si>
    <t>流动资金</t>
    <phoneticPr fontId="1" type="noConversion"/>
  </si>
  <si>
    <t>元/ KWp</t>
    <phoneticPr fontId="1" type="noConversion"/>
  </si>
  <si>
    <t>资本金（资金筹措）</t>
    <phoneticPr fontId="1" type="noConversion"/>
  </si>
  <si>
    <t>资金筹措</t>
    <phoneticPr fontId="1" type="noConversion"/>
  </si>
  <si>
    <t>第1年</t>
    <phoneticPr fontId="1" type="noConversion"/>
  </si>
  <si>
    <t>第2年</t>
    <phoneticPr fontId="1" type="noConversion"/>
  </si>
  <si>
    <t>2.1.1</t>
    <phoneticPr fontId="1" type="noConversion"/>
  </si>
  <si>
    <t>2.1.2</t>
    <phoneticPr fontId="1" type="noConversion"/>
  </si>
  <si>
    <t>建设投资资本金</t>
    <phoneticPr fontId="1" type="noConversion"/>
  </si>
  <si>
    <t>流动资金资本金</t>
    <phoneticPr fontId="1" type="noConversion"/>
  </si>
  <si>
    <t>借款</t>
    <phoneticPr fontId="1" type="noConversion"/>
  </si>
  <si>
    <t>2.2.1</t>
    <phoneticPr fontId="1" type="noConversion"/>
  </si>
  <si>
    <t>长期借款</t>
    <phoneticPr fontId="1" type="noConversion"/>
  </si>
  <si>
    <t>长期借款本金</t>
    <phoneticPr fontId="1" type="noConversion"/>
  </si>
  <si>
    <t>2.2.2</t>
    <phoneticPr fontId="1" type="noConversion"/>
  </si>
  <si>
    <t>流动资金借款</t>
    <phoneticPr fontId="1" type="noConversion"/>
  </si>
  <si>
    <t>资本金贷款比例</t>
    <phoneticPr fontId="1" type="noConversion"/>
  </si>
  <si>
    <t>流动资金出资比例</t>
    <phoneticPr fontId="1" type="noConversion"/>
  </si>
  <si>
    <t>项目总投资资金筹措计划表</t>
    <phoneticPr fontId="1" type="noConversion"/>
  </si>
  <si>
    <t>总成本费用估算表</t>
    <phoneticPr fontId="1" type="noConversion"/>
  </si>
  <si>
    <t>建设期</t>
    <phoneticPr fontId="1" type="noConversion"/>
  </si>
  <si>
    <t>运营期</t>
    <phoneticPr fontId="1" type="noConversion"/>
  </si>
  <si>
    <t>第11年</t>
  </si>
  <si>
    <t>第12年</t>
  </si>
  <si>
    <t>第13年</t>
  </si>
  <si>
    <t>第14年</t>
  </si>
  <si>
    <t>第15年</t>
  </si>
  <si>
    <t>第16年</t>
  </si>
  <si>
    <t>第17年</t>
  </si>
  <si>
    <t>第18年</t>
  </si>
  <si>
    <t>第19年</t>
  </si>
  <si>
    <t>第20年</t>
  </si>
  <si>
    <t>第21年</t>
  </si>
  <si>
    <t>折旧费</t>
    <phoneticPr fontId="1" type="noConversion"/>
  </si>
  <si>
    <t>电站残值</t>
    <phoneticPr fontId="1" type="noConversion"/>
  </si>
  <si>
    <t>固定资产构成表</t>
    <phoneticPr fontId="1" type="noConversion"/>
  </si>
  <si>
    <t>总投资</t>
    <phoneticPr fontId="1" type="noConversion"/>
  </si>
  <si>
    <t>安装工程费税额（9%）</t>
    <phoneticPr fontId="1" type="noConversion"/>
  </si>
  <si>
    <t>建筑工程费税额
（9%）</t>
    <phoneticPr fontId="1" type="noConversion"/>
  </si>
  <si>
    <t>其它费税额</t>
    <phoneticPr fontId="1" type="noConversion"/>
  </si>
  <si>
    <t>增值税</t>
    <phoneticPr fontId="1" type="noConversion"/>
  </si>
  <si>
    <t xml:space="preserve">设备费税额
</t>
    <phoneticPr fontId="1" type="noConversion"/>
  </si>
  <si>
    <t>固定资产
（万元）</t>
    <phoneticPr fontId="1" type="noConversion"/>
  </si>
  <si>
    <t>电站残值
（万元）</t>
    <phoneticPr fontId="1" type="noConversion"/>
  </si>
  <si>
    <t>折旧资产</t>
    <phoneticPr fontId="1" type="noConversion"/>
  </si>
  <si>
    <t>维修费</t>
    <phoneticPr fontId="1" type="noConversion"/>
  </si>
  <si>
    <t>工资及福利</t>
    <phoneticPr fontId="1" type="noConversion"/>
  </si>
  <si>
    <t>人员工资</t>
    <phoneticPr fontId="1" type="noConversion"/>
  </si>
  <si>
    <t>万元/人·年</t>
    <phoneticPr fontId="1" type="noConversion"/>
  </si>
  <si>
    <t>保险费</t>
    <phoneticPr fontId="1" type="noConversion"/>
  </si>
  <si>
    <t>固定资产净值</t>
    <phoneticPr fontId="1" type="noConversion"/>
  </si>
  <si>
    <t>摊销费</t>
    <phoneticPr fontId="1" type="noConversion"/>
  </si>
  <si>
    <t>土地租金</t>
    <phoneticPr fontId="1" type="noConversion"/>
  </si>
  <si>
    <t>占地面积</t>
    <phoneticPr fontId="1" type="noConversion"/>
  </si>
  <si>
    <t>亩</t>
    <phoneticPr fontId="1" type="noConversion"/>
  </si>
  <si>
    <t>利息支出</t>
    <phoneticPr fontId="1" type="noConversion"/>
  </si>
  <si>
    <t>还本付息计划表</t>
    <phoneticPr fontId="1" type="noConversion"/>
  </si>
  <si>
    <t>其它费支出</t>
    <phoneticPr fontId="1" type="noConversion"/>
  </si>
  <si>
    <t>其它制造费</t>
    <phoneticPr fontId="1" type="noConversion"/>
  </si>
  <si>
    <t>其它管理费</t>
    <phoneticPr fontId="1" type="noConversion"/>
  </si>
  <si>
    <t>总成本费用</t>
    <phoneticPr fontId="1" type="noConversion"/>
  </si>
  <si>
    <t>经营成本</t>
    <phoneticPr fontId="1" type="noConversion"/>
  </si>
  <si>
    <t>利润与利润分配表</t>
    <phoneticPr fontId="1" type="noConversion"/>
  </si>
  <si>
    <t>建设规模</t>
    <phoneticPr fontId="1" type="noConversion"/>
  </si>
  <si>
    <t>辐照量</t>
    <phoneticPr fontId="1" type="noConversion"/>
  </si>
  <si>
    <t>理论电量</t>
    <phoneticPr fontId="1" type="noConversion"/>
  </si>
  <si>
    <t>上网电量（MWh）</t>
    <phoneticPr fontId="1" type="noConversion"/>
  </si>
  <si>
    <t>项目投资现金流量表</t>
    <phoneticPr fontId="1" type="noConversion"/>
  </si>
  <si>
    <t>2.4.1</t>
    <phoneticPr fontId="1" type="noConversion"/>
  </si>
  <si>
    <t>2.4.2</t>
    <phoneticPr fontId="1" type="noConversion"/>
  </si>
  <si>
    <t>城市维护建设税（7%）</t>
    <phoneticPr fontId="1" type="noConversion"/>
  </si>
  <si>
    <t>教育附加费（5%）</t>
    <phoneticPr fontId="1" type="noConversion"/>
  </si>
  <si>
    <t>财务计划现金流量表</t>
    <phoneticPr fontId="1" type="noConversion"/>
  </si>
  <si>
    <t>项目资本金流量表</t>
    <phoneticPr fontId="1" type="noConversion"/>
  </si>
  <si>
    <t>资产负债表</t>
    <phoneticPr fontId="1" type="noConversion"/>
  </si>
  <si>
    <t>EVA表</t>
    <phoneticPr fontId="1" type="noConversion"/>
  </si>
  <si>
    <t>LCOE（含税平准化度电成本）</t>
    <phoneticPr fontId="1" type="noConversion"/>
  </si>
  <si>
    <t>基准收益率</t>
    <phoneticPr fontId="1" type="noConversion"/>
  </si>
  <si>
    <t>手动输入</t>
    <phoneticPr fontId="1" type="noConversion"/>
  </si>
  <si>
    <t>可调数据</t>
    <phoneticPr fontId="1" type="noConversion"/>
  </si>
  <si>
    <t>不建议改动</t>
    <phoneticPr fontId="1" type="noConversion"/>
  </si>
  <si>
    <t>不带颜色</t>
    <phoneticPr fontId="1" type="noConversion"/>
  </si>
  <si>
    <t>自动生成</t>
    <phoneticPr fontId="1" type="noConversion"/>
  </si>
  <si>
    <t>用表说明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</si>
</sst>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_ "/>
    <numFmt numFmtId="179" formatCode="0_);[Red]\(0\)"/>
    <numFmt numFmtId="180" formatCode="0.0000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0.5"/>
      <color rgb="FF000000"/>
      <name val="Times New Roman"/>
      <family val="1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3" borderId="7" xfId="0" applyNumberFormat="1" applyFill="1" applyBorder="1" applyAlignment="1">
      <alignment horizontal="center" vertical="center"/>
    </xf>
    <xf numFmtId="10" fontId="0" fillId="0" borderId="7" xfId="0" applyNumberForma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9" fontId="0" fillId="0" borderId="7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7" xfId="0" applyNumberFormat="1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8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79" fontId="0" fillId="0" borderId="7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179" fontId="7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80" fontId="0" fillId="3" borderId="7" xfId="0" applyNumberFormat="1" applyFill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77" fontId="7" fillId="0" borderId="7" xfId="0" applyNumberFormat="1" applyFont="1" applyBorder="1" applyAlignment="1">
      <alignment horizontal="center" vertical="center" wrapText="1"/>
    </xf>
    <xf numFmtId="179" fontId="0" fillId="0" borderId="7" xfId="0" applyNumberForma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179" fontId="7" fillId="2" borderId="7" xfId="0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 wrapText="1"/>
    </xf>
    <xf numFmtId="10" fontId="7" fillId="2" borderId="7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10" fontId="0" fillId="0" borderId="7" xfId="0" applyNumberFormat="1" applyBorder="1" applyAlignment="1" applyProtection="1">
      <alignment horizontal="center" vertical="center"/>
    </xf>
    <xf numFmtId="176" fontId="0" fillId="0" borderId="7" xfId="0" applyNumberFormat="1" applyBorder="1" applyProtection="1">
      <alignment vertical="center"/>
    </xf>
    <xf numFmtId="0" fontId="0" fillId="0" borderId="7" xfId="0" applyBorder="1" applyProtection="1">
      <alignment vertical="center"/>
    </xf>
    <xf numFmtId="180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0" fontId="0" fillId="6" borderId="7" xfId="0" applyNumberFormat="1" applyFill="1" applyBorder="1" applyAlignment="1">
      <alignment horizontal="center" vertical="center"/>
    </xf>
    <xf numFmtId="180" fontId="0" fillId="6" borderId="7" xfId="0" applyNumberFormat="1" applyFill="1" applyBorder="1" applyAlignment="1">
      <alignment horizontal="center" vertical="center"/>
    </xf>
    <xf numFmtId="0" fontId="0" fillId="6" borderId="7" xfId="0" applyFill="1" applyBorder="1">
      <alignment vertical="center"/>
    </xf>
    <xf numFmtId="0" fontId="0" fillId="3" borderId="7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workbookViewId="0">
      <selection activeCell="F30" sqref="F30"/>
    </sheetView>
  </sheetViews>
  <sheetFormatPr defaultRowHeight="13.5"/>
  <cols>
    <col min="1" max="1" width="6.5" customWidth="1"/>
    <col min="2" max="2" width="19.125" customWidth="1"/>
    <col min="3" max="3" width="12.25" customWidth="1"/>
    <col min="4" max="4" width="14.875" customWidth="1"/>
    <col min="5" max="5" width="12.25" customWidth="1"/>
    <col min="6" max="6" width="37.875" customWidth="1"/>
    <col min="7" max="7" width="12.75" customWidth="1"/>
    <col min="8" max="8" width="13.375" customWidth="1"/>
    <col min="11" max="11" width="9.5" bestFit="1" customWidth="1"/>
    <col min="12" max="12" width="27.375" customWidth="1"/>
  </cols>
  <sheetData>
    <row r="1" spans="1:14">
      <c r="A1" s="69" t="s">
        <v>210</v>
      </c>
      <c r="B1" s="69"/>
      <c r="C1" s="69"/>
      <c r="D1" s="69"/>
      <c r="E1" s="69"/>
      <c r="F1" s="69"/>
      <c r="G1" s="69"/>
      <c r="H1" s="69"/>
    </row>
    <row r="2" spans="1:14">
      <c r="A2" s="69"/>
      <c r="B2" s="69"/>
      <c r="C2" s="69"/>
      <c r="D2" s="69"/>
      <c r="E2" s="69"/>
      <c r="F2" s="69"/>
      <c r="G2" s="69"/>
      <c r="H2" s="69"/>
    </row>
    <row r="3" spans="1:14">
      <c r="A3" s="70" t="s">
        <v>178</v>
      </c>
      <c r="B3" s="70"/>
      <c r="C3" s="70"/>
      <c r="D3" s="70"/>
      <c r="E3" s="71" t="s">
        <v>204</v>
      </c>
      <c r="F3" s="71"/>
      <c r="G3" s="71"/>
      <c r="H3" s="71"/>
      <c r="K3" s="18" t="s">
        <v>0</v>
      </c>
      <c r="L3" s="18" t="s">
        <v>1</v>
      </c>
      <c r="M3" s="18" t="s">
        <v>2</v>
      </c>
      <c r="N3" s="18" t="s">
        <v>8</v>
      </c>
    </row>
    <row r="4" spans="1:14">
      <c r="A4" s="7" t="s">
        <v>179</v>
      </c>
      <c r="B4" s="7" t="s">
        <v>180</v>
      </c>
      <c r="C4" s="7" t="s">
        <v>181</v>
      </c>
      <c r="D4" s="7" t="s">
        <v>182</v>
      </c>
      <c r="E4" s="61" t="s">
        <v>179</v>
      </c>
      <c r="F4" s="61" t="s">
        <v>207</v>
      </c>
      <c r="G4" s="61" t="s">
        <v>181</v>
      </c>
      <c r="H4" s="61" t="s">
        <v>182</v>
      </c>
      <c r="K4" s="19">
        <v>1</v>
      </c>
      <c r="L4" s="20" t="s">
        <v>3</v>
      </c>
      <c r="M4" s="20" t="s">
        <v>4</v>
      </c>
      <c r="N4" s="19">
        <v>18826.86</v>
      </c>
    </row>
    <row r="5" spans="1:14">
      <c r="A5" s="7">
        <v>1</v>
      </c>
      <c r="B5" s="7" t="s">
        <v>183</v>
      </c>
      <c r="C5" s="7" t="s">
        <v>184</v>
      </c>
      <c r="D5" s="100">
        <v>2</v>
      </c>
      <c r="E5" s="61">
        <v>1</v>
      </c>
      <c r="F5" s="61" t="s">
        <v>208</v>
      </c>
      <c r="G5" s="61" t="s">
        <v>209</v>
      </c>
      <c r="H5" s="62">
        <f>利润与利润分配表!C7/主要技术经济指标!D19</f>
        <v>2679.5615721500012</v>
      </c>
      <c r="K5" s="19">
        <v>2</v>
      </c>
      <c r="L5" s="20" t="s">
        <v>5</v>
      </c>
      <c r="M5" s="20" t="s">
        <v>4</v>
      </c>
      <c r="N5" s="19">
        <v>104.91</v>
      </c>
    </row>
    <row r="6" spans="1:14" ht="14.25">
      <c r="A6" s="7">
        <v>2</v>
      </c>
      <c r="B6" s="7" t="s">
        <v>185</v>
      </c>
      <c r="C6" s="7" t="s">
        <v>186</v>
      </c>
      <c r="D6" s="101">
        <v>1700</v>
      </c>
      <c r="E6" s="61">
        <v>2</v>
      </c>
      <c r="F6" s="63" t="s">
        <v>211</v>
      </c>
      <c r="G6" s="63" t="s">
        <v>212</v>
      </c>
      <c r="H6" s="62">
        <f>项目总投资资金筹措计划表!C5</f>
        <v>1534.4816000000001</v>
      </c>
      <c r="K6" s="19">
        <v>3</v>
      </c>
      <c r="L6" s="20" t="s">
        <v>9</v>
      </c>
      <c r="M6" s="20" t="s">
        <v>4</v>
      </c>
      <c r="N6" s="19">
        <v>1750.34</v>
      </c>
    </row>
    <row r="7" spans="1:14" ht="14.25">
      <c r="A7" s="7">
        <v>3</v>
      </c>
      <c r="B7" s="7" t="s">
        <v>187</v>
      </c>
      <c r="C7" s="7" t="s">
        <v>188</v>
      </c>
      <c r="D7" s="101">
        <v>7600</v>
      </c>
      <c r="E7" s="61">
        <v>3</v>
      </c>
      <c r="F7" s="63" t="s">
        <v>5</v>
      </c>
      <c r="G7" s="63" t="s">
        <v>4</v>
      </c>
      <c r="H7" s="62">
        <f>项目总投资资金筹措计划表!D7</f>
        <v>8.4815999999999985</v>
      </c>
      <c r="K7" s="19">
        <v>4</v>
      </c>
      <c r="L7" s="20" t="s">
        <v>10</v>
      </c>
      <c r="M7" s="20" t="s">
        <v>4</v>
      </c>
      <c r="N7" s="19">
        <v>17181.43</v>
      </c>
    </row>
    <row r="8" spans="1:14" ht="14.25">
      <c r="A8" s="7">
        <v>4</v>
      </c>
      <c r="B8" s="7" t="s">
        <v>189</v>
      </c>
      <c r="C8" s="7" t="s">
        <v>190</v>
      </c>
      <c r="D8" s="11">
        <v>4</v>
      </c>
      <c r="E8" s="61">
        <v>4</v>
      </c>
      <c r="F8" s="63" t="s">
        <v>12</v>
      </c>
      <c r="G8" s="63" t="s">
        <v>4</v>
      </c>
      <c r="H8" s="62">
        <f>项目总投资资金筹措计划表!C8</f>
        <v>6</v>
      </c>
    </row>
    <row r="9" spans="1:14" ht="14.25">
      <c r="A9" s="7">
        <v>5</v>
      </c>
      <c r="B9" s="7" t="s">
        <v>191</v>
      </c>
      <c r="C9" s="7" t="s">
        <v>192</v>
      </c>
      <c r="D9" s="12">
        <v>0.2</v>
      </c>
      <c r="E9" s="61">
        <v>5</v>
      </c>
      <c r="F9" s="63" t="s">
        <v>13</v>
      </c>
      <c r="G9" s="63" t="s">
        <v>4</v>
      </c>
      <c r="H9" s="62"/>
    </row>
    <row r="10" spans="1:14" ht="14.25">
      <c r="A10" s="7">
        <v>6</v>
      </c>
      <c r="B10" s="7" t="s">
        <v>197</v>
      </c>
      <c r="C10" s="7" t="s">
        <v>192</v>
      </c>
      <c r="D10" s="12">
        <v>0.7</v>
      </c>
      <c r="E10" s="61">
        <v>6</v>
      </c>
      <c r="F10" s="63" t="s">
        <v>14</v>
      </c>
      <c r="G10" s="63" t="s">
        <v>4</v>
      </c>
      <c r="H10" s="62">
        <f>总成本费用估算表!C24</f>
        <v>2774.4686763255522</v>
      </c>
    </row>
    <row r="11" spans="1:14" ht="14.25">
      <c r="A11" s="7">
        <v>7</v>
      </c>
      <c r="B11" s="7" t="s">
        <v>193</v>
      </c>
      <c r="C11" s="7" t="s">
        <v>192</v>
      </c>
      <c r="D11" s="11">
        <v>4.1849999999999996</v>
      </c>
      <c r="E11" s="61">
        <v>7</v>
      </c>
      <c r="F11" s="63" t="s">
        <v>15</v>
      </c>
      <c r="G11" s="63" t="s">
        <v>4</v>
      </c>
      <c r="H11" s="62">
        <f>项目投资现金流量表!C15</f>
        <v>49.628153997582608</v>
      </c>
    </row>
    <row r="12" spans="1:14" ht="14.25">
      <c r="A12" s="7">
        <v>8</v>
      </c>
      <c r="B12" s="7" t="s">
        <v>194</v>
      </c>
      <c r="C12" s="7" t="s">
        <v>195</v>
      </c>
      <c r="D12" s="29">
        <v>10</v>
      </c>
      <c r="E12" s="61">
        <v>8</v>
      </c>
      <c r="F12" s="63" t="s">
        <v>16</v>
      </c>
      <c r="G12" s="63" t="s">
        <v>4</v>
      </c>
      <c r="H12" s="62">
        <f>利润与利润分配表!C16</f>
        <v>1444.2313377034168</v>
      </c>
    </row>
    <row r="13" spans="1:14" ht="14.25">
      <c r="A13" s="7">
        <v>9</v>
      </c>
      <c r="B13" s="7" t="s">
        <v>196</v>
      </c>
      <c r="C13" s="7" t="s">
        <v>192</v>
      </c>
      <c r="D13" s="102">
        <v>0.84087100000000004</v>
      </c>
      <c r="E13" s="61">
        <v>9</v>
      </c>
      <c r="F13" s="63" t="s">
        <v>17</v>
      </c>
      <c r="G13" s="63" t="s">
        <v>18</v>
      </c>
      <c r="H13" s="62">
        <f>MATCH(0,项目投资现金流量表!D19:X19,1)-LOOKUP(0,项目投资现金流量表!D19:X19)/INDEX(项目投资现金流量表!D18:X18,MATCH(0,项目投资现金流量表!D19:X19,1)+1)</f>
        <v>9.5994454023574498</v>
      </c>
    </row>
    <row r="14" spans="1:14" ht="14.25">
      <c r="A14" s="7">
        <v>10</v>
      </c>
      <c r="B14" s="17" t="s">
        <v>198</v>
      </c>
      <c r="C14" s="17" t="s">
        <v>199</v>
      </c>
      <c r="D14" s="101">
        <v>3</v>
      </c>
      <c r="E14" s="61">
        <v>10</v>
      </c>
      <c r="F14" s="63" t="s">
        <v>19</v>
      </c>
      <c r="G14" s="63" t="s">
        <v>18</v>
      </c>
      <c r="H14" s="62">
        <f>MATCH(0,项目投资现金流量表!D22:X22,1)-LOOKUP(0,项目投资现金流量表!D22:X22)/INDEX(项目投资现金流量表!D21:X21,MATCH(0,项目投资现金流量表!D22:X22,1)+1)</f>
        <v>10.297541778473478</v>
      </c>
    </row>
    <row r="15" spans="1:14" ht="14.25">
      <c r="A15" s="7">
        <v>11</v>
      </c>
      <c r="B15" s="7" t="s">
        <v>200</v>
      </c>
      <c r="C15" s="7" t="s">
        <v>177</v>
      </c>
      <c r="D15" s="29">
        <v>8</v>
      </c>
      <c r="E15" s="61">
        <v>11</v>
      </c>
      <c r="F15" s="63" t="s">
        <v>20</v>
      </c>
      <c r="G15" s="63" t="s">
        <v>7</v>
      </c>
      <c r="H15" s="62">
        <f>IRR(项目投资现金流量表!D18:X18)*100</f>
        <v>9.2953594260890107</v>
      </c>
    </row>
    <row r="16" spans="1:14" ht="14.25">
      <c r="A16" s="7">
        <v>12</v>
      </c>
      <c r="B16" s="7" t="s">
        <v>201</v>
      </c>
      <c r="C16" s="7" t="s">
        <v>177</v>
      </c>
      <c r="D16" s="29">
        <v>15</v>
      </c>
      <c r="E16" s="61">
        <v>12</v>
      </c>
      <c r="F16" s="63" t="s">
        <v>21</v>
      </c>
      <c r="G16" s="63" t="s">
        <v>7</v>
      </c>
      <c r="H16" s="62">
        <f>IRR(项目投资现金流量表!D21:X21)*100</f>
        <v>8.0721110470802735</v>
      </c>
    </row>
    <row r="17" spans="1:8" ht="14.25">
      <c r="A17" s="7">
        <v>13</v>
      </c>
      <c r="B17" s="7" t="s">
        <v>202</v>
      </c>
      <c r="C17" s="7" t="s">
        <v>177</v>
      </c>
      <c r="D17" s="36">
        <f>D18/1.13</f>
        <v>0.79646017699115057</v>
      </c>
      <c r="E17" s="61">
        <v>13</v>
      </c>
      <c r="F17" s="63" t="s">
        <v>22</v>
      </c>
      <c r="G17" s="63" t="s">
        <v>4</v>
      </c>
      <c r="H17" s="62">
        <f>NPV(D28,项目投资现金流量表!D18:X18)</f>
        <v>129.08555904634053</v>
      </c>
    </row>
    <row r="18" spans="1:8" ht="14.25">
      <c r="A18" s="7">
        <v>14</v>
      </c>
      <c r="B18" s="7" t="s">
        <v>203</v>
      </c>
      <c r="C18" s="7" t="s">
        <v>177</v>
      </c>
      <c r="D18" s="103">
        <v>0.9</v>
      </c>
      <c r="E18" s="61">
        <v>14</v>
      </c>
      <c r="F18" s="63" t="s">
        <v>23</v>
      </c>
      <c r="G18" s="63" t="s">
        <v>4</v>
      </c>
      <c r="H18" s="62">
        <f>NPV(D28,项目投资现金流量表!D21:X21)</f>
        <v>6.8191946549076343</v>
      </c>
    </row>
    <row r="19" spans="1:8" ht="14.25">
      <c r="A19" s="7">
        <v>15</v>
      </c>
      <c r="B19" s="7" t="s">
        <v>205</v>
      </c>
      <c r="C19" s="7" t="s">
        <v>195</v>
      </c>
      <c r="D19" s="29">
        <v>20</v>
      </c>
      <c r="E19" s="61">
        <v>15</v>
      </c>
      <c r="F19" s="63" t="s">
        <v>24</v>
      </c>
      <c r="G19" s="63" t="s">
        <v>7</v>
      </c>
      <c r="H19" s="64">
        <f>IRR(项目资本金现金流量表!D18:X18)</f>
        <v>0.12855553899040945</v>
      </c>
    </row>
    <row r="20" spans="1:8" ht="14.25">
      <c r="A20" s="7">
        <v>16</v>
      </c>
      <c r="B20" s="7" t="s">
        <v>206</v>
      </c>
      <c r="C20" s="7" t="s">
        <v>195</v>
      </c>
      <c r="D20" s="29">
        <v>20</v>
      </c>
      <c r="E20" s="61">
        <v>16</v>
      </c>
      <c r="F20" s="63" t="s">
        <v>25</v>
      </c>
      <c r="G20" s="63" t="s">
        <v>4</v>
      </c>
      <c r="H20" s="62">
        <f>NPV(D28,项目资本金现金流量表!D18:X18)</f>
        <v>191.7681700207122</v>
      </c>
    </row>
    <row r="21" spans="1:8" ht="14.25">
      <c r="A21" s="7">
        <v>17</v>
      </c>
      <c r="B21" s="7" t="s">
        <v>213</v>
      </c>
      <c r="C21" s="7" t="s">
        <v>214</v>
      </c>
      <c r="D21" s="11">
        <v>0</v>
      </c>
      <c r="E21" s="61">
        <v>17</v>
      </c>
      <c r="F21" s="63" t="s">
        <v>26</v>
      </c>
      <c r="G21" s="63" t="s">
        <v>7</v>
      </c>
      <c r="H21" s="64">
        <f>利润与利润分配表!C29/主要技术经济指标!H6/主要技术经济指标!D19*100%</f>
        <v>5.6344805292139574E-2</v>
      </c>
    </row>
    <row r="22" spans="1:8" ht="14.25">
      <c r="A22" s="7">
        <v>18</v>
      </c>
      <c r="B22" s="7" t="s">
        <v>222</v>
      </c>
      <c r="C22" s="7" t="s">
        <v>223</v>
      </c>
      <c r="D22" s="11">
        <v>30</v>
      </c>
      <c r="E22" s="61">
        <v>18</v>
      </c>
      <c r="F22" s="63" t="s">
        <v>27</v>
      </c>
      <c r="G22" s="63" t="s">
        <v>7</v>
      </c>
      <c r="H22" s="64">
        <f>(利润与利润分配表!C11+利润与利润分配表!C18)/H6/D19</f>
        <v>4.8676357269484341E-2</v>
      </c>
    </row>
    <row r="23" spans="1:8" ht="21.75" customHeight="1">
      <c r="A23" s="7">
        <v>19</v>
      </c>
      <c r="B23" s="7" t="s">
        <v>238</v>
      </c>
      <c r="C23" s="7"/>
      <c r="D23" s="16">
        <f>1-D9</f>
        <v>0.8</v>
      </c>
      <c r="E23" s="61">
        <v>19</v>
      </c>
      <c r="F23" s="63" t="s">
        <v>28</v>
      </c>
      <c r="G23" s="63" t="s">
        <v>7</v>
      </c>
      <c r="H23" s="64">
        <f>利润与利润分配表!C21/项目总投资资金筹措计划表!C10/主要技术经济指标!D19</f>
        <v>0.18646323205336165</v>
      </c>
    </row>
    <row r="24" spans="1:8" ht="21.75" customHeight="1">
      <c r="A24" s="7">
        <v>20</v>
      </c>
      <c r="B24" s="7" t="s">
        <v>239</v>
      </c>
      <c r="C24" s="7"/>
      <c r="D24" s="16">
        <f>1-D10</f>
        <v>0.30000000000000004</v>
      </c>
      <c r="E24" s="61">
        <v>20</v>
      </c>
      <c r="F24" s="63" t="s">
        <v>29</v>
      </c>
      <c r="G24" s="63" t="s">
        <v>7</v>
      </c>
      <c r="H24" s="64">
        <f>MAX(资产负债表!C26:W26)</f>
        <v>0.8</v>
      </c>
    </row>
    <row r="25" spans="1:8" ht="21.75" customHeight="1">
      <c r="A25" s="7">
        <v>21</v>
      </c>
      <c r="B25" s="7" t="s">
        <v>256</v>
      </c>
      <c r="C25" s="6"/>
      <c r="D25" s="12">
        <v>0.03</v>
      </c>
      <c r="E25" s="61">
        <v>21</v>
      </c>
      <c r="F25" s="63" t="s">
        <v>298</v>
      </c>
      <c r="G25" s="63" t="s">
        <v>6</v>
      </c>
      <c r="H25" s="67">
        <f>(总成本费用估算表!C24+财务计划现金流量表!C8+利润与利润分配表!C11+利润与利润分配表!C19+总成本费用估算表!H4)/(20*(NPV(D28,利润与利润分配表!E7:X7)/100))</f>
        <v>0.69837863085679108</v>
      </c>
    </row>
    <row r="26" spans="1:8" ht="21.75" customHeight="1">
      <c r="A26" s="7">
        <v>22</v>
      </c>
      <c r="B26" s="7" t="s">
        <v>269</v>
      </c>
      <c r="C26" s="6" t="s">
        <v>270</v>
      </c>
      <c r="D26" s="11">
        <v>15</v>
      </c>
      <c r="E26" s="61">
        <v>22</v>
      </c>
      <c r="F26" s="63"/>
      <c r="G26" s="63"/>
      <c r="H26" s="65"/>
    </row>
    <row r="27" spans="1:8" ht="21.75" customHeight="1">
      <c r="A27" s="7">
        <v>23</v>
      </c>
      <c r="B27" s="7" t="s">
        <v>275</v>
      </c>
      <c r="C27" s="7" t="s">
        <v>276</v>
      </c>
      <c r="D27" s="11">
        <v>97</v>
      </c>
      <c r="E27" s="61">
        <v>23</v>
      </c>
      <c r="F27" s="6"/>
      <c r="G27" s="6"/>
      <c r="H27" s="6"/>
    </row>
    <row r="28" spans="1:8" ht="21.75" customHeight="1">
      <c r="A28" s="57">
        <v>24</v>
      </c>
      <c r="B28" s="17" t="s">
        <v>299</v>
      </c>
      <c r="C28" s="7" t="s">
        <v>192</v>
      </c>
      <c r="D28" s="12">
        <v>0.08</v>
      </c>
      <c r="E28" s="61">
        <v>24</v>
      </c>
      <c r="F28" s="66"/>
      <c r="G28" s="66"/>
      <c r="H28" s="66"/>
    </row>
    <row r="29" spans="1:8" ht="21.75" customHeight="1"/>
    <row r="30" spans="1:8" ht="21.75" customHeight="1">
      <c r="D30" s="107" t="s">
        <v>305</v>
      </c>
      <c r="E30" s="107"/>
    </row>
    <row r="31" spans="1:8" ht="21.75" customHeight="1">
      <c r="D31" s="104"/>
      <c r="E31" s="68" t="s">
        <v>300</v>
      </c>
    </row>
    <row r="32" spans="1:8" ht="21.75" customHeight="1">
      <c r="D32" s="105"/>
      <c r="E32" s="6" t="s">
        <v>301</v>
      </c>
    </row>
    <row r="33" spans="4:5" ht="21.75" customHeight="1">
      <c r="D33" s="106"/>
      <c r="E33" s="6" t="s">
        <v>302</v>
      </c>
    </row>
    <row r="34" spans="4:5" ht="21.75" customHeight="1">
      <c r="D34" s="68" t="s">
        <v>303</v>
      </c>
      <c r="E34" s="6" t="s">
        <v>304</v>
      </c>
    </row>
    <row r="35" spans="4:5" ht="21.75" customHeight="1"/>
    <row r="36" spans="4:5" ht="21.75" customHeight="1"/>
    <row r="37" spans="4:5" ht="21.75" customHeight="1"/>
    <row r="38" spans="4:5" ht="21.75" customHeight="1"/>
    <row r="39" spans="4:5" ht="21.75" customHeight="1"/>
    <row r="40" spans="4:5" ht="21.75" customHeight="1"/>
    <row r="41" spans="4:5" ht="21.75" customHeight="1"/>
    <row r="42" spans="4:5" ht="21.75" customHeight="1"/>
    <row r="43" spans="4:5" ht="21.75" customHeight="1"/>
    <row r="44" spans="4:5" ht="21.75" customHeight="1"/>
    <row r="45" spans="4:5" ht="21.75" customHeight="1"/>
    <row r="46" spans="4:5" ht="21.75" customHeight="1"/>
  </sheetData>
  <mergeCells count="4">
    <mergeCell ref="A1:H2"/>
    <mergeCell ref="A3:D3"/>
    <mergeCell ref="E3:H3"/>
    <mergeCell ref="D30:E3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activeCell="I16" sqref="I16"/>
    </sheetView>
  </sheetViews>
  <sheetFormatPr defaultRowHeight="13.5"/>
  <cols>
    <col min="3" max="3" width="11.375" bestFit="1" customWidth="1"/>
    <col min="4" max="4" width="11.5" bestFit="1" customWidth="1"/>
    <col min="5" max="7" width="9.375" bestFit="1" customWidth="1"/>
    <col min="8" max="10" width="9.25" bestFit="1" customWidth="1"/>
    <col min="11" max="24" width="9.5" bestFit="1" customWidth="1"/>
  </cols>
  <sheetData>
    <row r="1" spans="1:24">
      <c r="A1" s="69" t="s">
        <v>297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4">
      <c r="A3" s="91" t="s">
        <v>0</v>
      </c>
      <c r="B3" s="91" t="s">
        <v>11</v>
      </c>
      <c r="C3" s="91" t="s">
        <v>30</v>
      </c>
      <c r="D3" s="39" t="s">
        <v>38</v>
      </c>
      <c r="E3" s="91" t="s">
        <v>39</v>
      </c>
      <c r="F3" s="91"/>
      <c r="G3" s="91"/>
      <c r="H3" s="91"/>
      <c r="I3" s="91"/>
      <c r="J3" s="91"/>
      <c r="K3" s="91"/>
      <c r="L3" s="91"/>
      <c r="M3" s="91"/>
      <c r="N3" s="91" t="s">
        <v>39</v>
      </c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>
      <c r="A4" s="91"/>
      <c r="B4" s="91"/>
      <c r="C4" s="91"/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39" t="s">
        <v>45</v>
      </c>
      <c r="J4" s="39" t="s">
        <v>46</v>
      </c>
      <c r="K4" s="39" t="s">
        <v>47</v>
      </c>
      <c r="L4" s="39" t="s">
        <v>48</v>
      </c>
      <c r="M4" s="39" t="s">
        <v>49</v>
      </c>
      <c r="N4" s="39" t="s">
        <v>244</v>
      </c>
      <c r="O4" s="39" t="s">
        <v>245</v>
      </c>
      <c r="P4" s="39" t="s">
        <v>246</v>
      </c>
      <c r="Q4" s="39" t="s">
        <v>247</v>
      </c>
      <c r="R4" s="39" t="s">
        <v>248</v>
      </c>
      <c r="S4" s="39" t="s">
        <v>249</v>
      </c>
      <c r="T4" s="39" t="s">
        <v>250</v>
      </c>
      <c r="U4" s="39" t="s">
        <v>251</v>
      </c>
      <c r="V4" s="39" t="s">
        <v>252</v>
      </c>
      <c r="W4" s="39" t="s">
        <v>253</v>
      </c>
      <c r="X4" s="39" t="s">
        <v>254</v>
      </c>
    </row>
    <row r="5" spans="1:24" ht="24">
      <c r="A5" s="40">
        <v>1</v>
      </c>
      <c r="B5" s="40" t="s">
        <v>164</v>
      </c>
      <c r="C5" s="41">
        <f>C6+C7</f>
        <v>1431.7051552582952</v>
      </c>
      <c r="D5" s="41">
        <f>D6+D7</f>
        <v>0</v>
      </c>
      <c r="E5" s="41">
        <f t="shared" ref="E5:X5" si="0">E6+E7</f>
        <v>100.1991413741342</v>
      </c>
      <c r="F5" s="41">
        <f t="shared" si="0"/>
        <v>99.342663353126014</v>
      </c>
      <c r="G5" s="41">
        <f t="shared" si="0"/>
        <v>98.486185332117927</v>
      </c>
      <c r="H5" s="41">
        <f t="shared" si="0"/>
        <v>89.925651994421031</v>
      </c>
      <c r="I5" s="41">
        <f t="shared" si="0"/>
        <v>88.536564176438944</v>
      </c>
      <c r="J5" s="41">
        <f t="shared" si="0"/>
        <v>80.277959713556271</v>
      </c>
      <c r="K5" s="41">
        <f t="shared" si="0"/>
        <v>70.796446037607907</v>
      </c>
      <c r="L5" s="41">
        <f t="shared" si="0"/>
        <v>68.886737085124295</v>
      </c>
      <c r="M5" s="41">
        <f t="shared" si="0"/>
        <v>66.97702813264064</v>
      </c>
      <c r="N5" s="41">
        <f t="shared" si="0"/>
        <v>65.067319180157028</v>
      </c>
      <c r="O5" s="41">
        <f t="shared" si="0"/>
        <v>63.157610227673402</v>
      </c>
      <c r="P5" s="41">
        <f t="shared" si="0"/>
        <v>62.527240374389791</v>
      </c>
      <c r="Q5" s="41">
        <f t="shared" si="0"/>
        <v>61.896870521106131</v>
      </c>
      <c r="R5" s="41">
        <f t="shared" si="0"/>
        <v>61.266500667822527</v>
      </c>
      <c r="S5" s="41">
        <f t="shared" si="0"/>
        <v>60.636130814538895</v>
      </c>
      <c r="T5" s="41">
        <f t="shared" si="0"/>
        <v>60.005760961255277</v>
      </c>
      <c r="U5" s="41">
        <f t="shared" si="0"/>
        <v>59.375391107971652</v>
      </c>
      <c r="V5" s="41">
        <f t="shared" si="0"/>
        <v>58.745021254687977</v>
      </c>
      <c r="W5" s="41">
        <f t="shared" si="0"/>
        <v>58.11465140140438</v>
      </c>
      <c r="X5" s="41">
        <f t="shared" si="0"/>
        <v>57.484281548120734</v>
      </c>
    </row>
    <row r="6" spans="1:24">
      <c r="A6" s="40">
        <v>1.1000000000000001</v>
      </c>
      <c r="B6" s="40" t="s">
        <v>165</v>
      </c>
      <c r="C6" s="41">
        <f>SUM(D6:X6)</f>
        <v>1146.7351534342952</v>
      </c>
      <c r="D6" s="41">
        <f>利润与利润分配表!D21</f>
        <v>0</v>
      </c>
      <c r="E6" s="41">
        <f>利润与利润分配表!E21</f>
        <v>48.849807406134204</v>
      </c>
      <c r="F6" s="41">
        <f>利润与利润分配表!F21</f>
        <v>53.110685781926009</v>
      </c>
      <c r="G6" s="41">
        <f>利润与利润分配表!G21</f>
        <v>57.371564157717927</v>
      </c>
      <c r="H6" s="41">
        <f>利润与利润分配表!H21</f>
        <v>53.928387216821037</v>
      </c>
      <c r="I6" s="41">
        <f>利润与利润分配表!I21</f>
        <v>57.65665579563894</v>
      </c>
      <c r="J6" s="41">
        <f>利润与利润分配表!J21</f>
        <v>54.515407729556273</v>
      </c>
      <c r="K6" s="41">
        <f>利润与利润分配表!K21</f>
        <v>50.151250450407908</v>
      </c>
      <c r="L6" s="41">
        <f>利润与利润分配表!L21</f>
        <v>53.358897894724294</v>
      </c>
      <c r="M6" s="41">
        <f>利润与利润分配表!M21</f>
        <v>56.566545339040637</v>
      </c>
      <c r="N6" s="41">
        <f>利润与利润分配表!N21</f>
        <v>59.774192783357023</v>
      </c>
      <c r="O6" s="41">
        <f>利润与利润分配表!O21</f>
        <v>62.981840227673402</v>
      </c>
      <c r="P6" s="41">
        <f>利润与利润分配表!P21</f>
        <v>62.351470374389791</v>
      </c>
      <c r="Q6" s="41">
        <f>利润与利润分配表!Q21</f>
        <v>61.721100521106131</v>
      </c>
      <c r="R6" s="41">
        <f>利润与利润分配表!R21</f>
        <v>61.090730667822527</v>
      </c>
      <c r="S6" s="41">
        <f>利润与利润分配表!S21</f>
        <v>60.460360814538895</v>
      </c>
      <c r="T6" s="41">
        <f>利润与利润分配表!T21</f>
        <v>59.829990961255277</v>
      </c>
      <c r="U6" s="41">
        <f>利润与利润分配表!U21</f>
        <v>59.199621107971652</v>
      </c>
      <c r="V6" s="41">
        <f>利润与利润分配表!V21</f>
        <v>58.569251254687977</v>
      </c>
      <c r="W6" s="41">
        <f>利润与利润分配表!W21</f>
        <v>57.93888140140438</v>
      </c>
      <c r="X6" s="41">
        <f>利润与利润分配表!X21</f>
        <v>57.308511548120734</v>
      </c>
    </row>
    <row r="7" spans="1:24">
      <c r="A7" s="40">
        <v>1.2</v>
      </c>
      <c r="B7" s="40" t="s">
        <v>50</v>
      </c>
      <c r="C7" s="41">
        <f>SUM(D7:X7)</f>
        <v>284.97000182400001</v>
      </c>
      <c r="D7" s="41">
        <f>项目资本金现金流量表!D14</f>
        <v>0</v>
      </c>
      <c r="E7" s="41">
        <f>项目资本金现金流量表!E14</f>
        <v>51.349333967999996</v>
      </c>
      <c r="F7" s="41">
        <f>项目资本金现金流量表!F14</f>
        <v>46.231977571200005</v>
      </c>
      <c r="G7" s="41">
        <f>项目资本金现金流量表!G14</f>
        <v>41.1146211744</v>
      </c>
      <c r="H7" s="41">
        <f>项目资本金现金流量表!H14</f>
        <v>35.997264777600002</v>
      </c>
      <c r="I7" s="41">
        <f>项目资本金现金流量表!I14</f>
        <v>30.8799083808</v>
      </c>
      <c r="J7" s="41">
        <f>项目资本金现金流量表!J14</f>
        <v>25.762551983999998</v>
      </c>
      <c r="K7" s="41">
        <f>项目资本金现金流量表!K14</f>
        <v>20.6451955872</v>
      </c>
      <c r="L7" s="41">
        <f>项目资本金现金流量表!L14</f>
        <v>15.5278391904</v>
      </c>
      <c r="M7" s="41">
        <f>项目资本金现金流量表!M14</f>
        <v>10.4104827936</v>
      </c>
      <c r="N7" s="41">
        <f>项目资本金现金流量表!N14</f>
        <v>5.2931263968000017</v>
      </c>
      <c r="O7" s="41">
        <f>项目资本金现金流量表!O14</f>
        <v>0.17576999999999995</v>
      </c>
      <c r="P7" s="41">
        <f>项目资本金现金流量表!P14</f>
        <v>0.17576999999999995</v>
      </c>
      <c r="Q7" s="41">
        <f>项目资本金现金流量表!Q14</f>
        <v>0.17576999999999995</v>
      </c>
      <c r="R7" s="41">
        <f>项目资本金现金流量表!R14</f>
        <v>0.17576999999999995</v>
      </c>
      <c r="S7" s="41">
        <f>项目资本金现金流量表!S14</f>
        <v>0.17576999999999995</v>
      </c>
      <c r="T7" s="41">
        <f>项目资本金现金流量表!T14</f>
        <v>0.17576999999999995</v>
      </c>
      <c r="U7" s="41">
        <f>项目资本金现金流量表!U14</f>
        <v>0.17576999999999995</v>
      </c>
      <c r="V7" s="41">
        <f>项目资本金现金流量表!V14</f>
        <v>0.17576999999999995</v>
      </c>
      <c r="W7" s="41">
        <f>项目资本金现金流量表!W14</f>
        <v>0.17576999999999995</v>
      </c>
      <c r="X7" s="41">
        <f>项目资本金现金流量表!X14</f>
        <v>0.17576999999999995</v>
      </c>
    </row>
    <row r="8" spans="1:24">
      <c r="A8" s="40">
        <v>2</v>
      </c>
      <c r="B8" s="40" t="s">
        <v>166</v>
      </c>
      <c r="C8" s="41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4">
      <c r="A9" s="40">
        <v>2.1</v>
      </c>
      <c r="B9" s="40" t="s">
        <v>153</v>
      </c>
      <c r="C9" s="41"/>
      <c r="D9" s="41">
        <f>资产负债表!C20</f>
        <v>305.69632000000001</v>
      </c>
      <c r="E9" s="41">
        <f>资产负债表!D20</f>
        <v>354.54612740613419</v>
      </c>
      <c r="F9" s="41">
        <f>资产负债表!E20</f>
        <v>407.65681318806026</v>
      </c>
      <c r="G9" s="41">
        <f>资产负债表!F20</f>
        <v>465.02837734577815</v>
      </c>
      <c r="H9" s="41">
        <f>资产负债表!G20</f>
        <v>518.95676456259912</v>
      </c>
      <c r="I9" s="41">
        <f>资产负债表!H20</f>
        <v>576.61342035823816</v>
      </c>
      <c r="J9" s="41">
        <f>资产负债表!I20</f>
        <v>631.12882808779432</v>
      </c>
      <c r="K9" s="41">
        <f>资产负债表!J20</f>
        <v>681.28007853820225</v>
      </c>
      <c r="L9" s="41">
        <f>资产负债表!K20</f>
        <v>734.63897643292648</v>
      </c>
      <c r="M9" s="41">
        <f>资产负债表!L20</f>
        <v>791.20552177196714</v>
      </c>
      <c r="N9" s="41">
        <f>资产负债表!M20</f>
        <v>850.97971455532422</v>
      </c>
      <c r="O9" s="41">
        <f>资产负债表!N20</f>
        <v>913.96155478299761</v>
      </c>
      <c r="P9" s="41">
        <f>资产负债表!O20</f>
        <v>976.3130251573873</v>
      </c>
      <c r="Q9" s="41">
        <f>资产负债表!P20</f>
        <v>1038.0341256784934</v>
      </c>
      <c r="R9" s="41">
        <f>资产负债表!Q20</f>
        <v>1099.1248563463159</v>
      </c>
      <c r="S9" s="41">
        <f>资产负债表!R20</f>
        <v>1159.5852171608549</v>
      </c>
      <c r="T9" s="41">
        <f>资产负债表!S20</f>
        <v>1219.4152081221102</v>
      </c>
      <c r="U9" s="41">
        <f>资产负债表!T20</f>
        <v>1278.6148292300818</v>
      </c>
      <c r="V9" s="41">
        <f>资产负债表!U20</f>
        <v>1337.1840804847698</v>
      </c>
      <c r="W9" s="41">
        <f>资产负债表!V20</f>
        <v>1395.1229618861742</v>
      </c>
      <c r="X9" s="41">
        <f>资产负债表!W20</f>
        <v>1452.4314734342947</v>
      </c>
    </row>
    <row r="10" spans="1:24">
      <c r="A10" s="40">
        <v>2.2000000000000002</v>
      </c>
      <c r="B10" s="40" t="s">
        <v>167</v>
      </c>
      <c r="C10" s="40"/>
      <c r="D10" s="41">
        <f>资产负债表!C19</f>
        <v>1222.7852800000001</v>
      </c>
      <c r="E10" s="41">
        <f>资产负债表!D19</f>
        <v>1104.7067520000001</v>
      </c>
      <c r="F10" s="41">
        <f>资产负债表!E19</f>
        <v>982.428224</v>
      </c>
      <c r="G10" s="41">
        <f>资产负债表!F19</f>
        <v>860.14969599999995</v>
      </c>
      <c r="H10" s="41">
        <f>资产负债表!G19</f>
        <v>737.8711679999999</v>
      </c>
      <c r="I10" s="41">
        <f>资产负债表!H19</f>
        <v>615.59263999999985</v>
      </c>
      <c r="J10" s="41">
        <f>资产负债表!I19</f>
        <v>493.3141119999998</v>
      </c>
      <c r="K10" s="41">
        <f>资产负债表!J19</f>
        <v>371.0355839999998</v>
      </c>
      <c r="L10" s="41">
        <f>资产负债表!K19</f>
        <v>248.75705599999981</v>
      </c>
      <c r="M10" s="41">
        <f>资产负债表!L19</f>
        <v>126.47852799999981</v>
      </c>
      <c r="N10" s="41">
        <f>资产负债表!M19</f>
        <v>4.1999999999998003</v>
      </c>
      <c r="O10" s="41">
        <f>资产负债表!N19</f>
        <v>4.1999999999998003</v>
      </c>
      <c r="P10" s="41">
        <f>资产负债表!O19</f>
        <v>4.1999999999998003</v>
      </c>
      <c r="Q10" s="41">
        <f>资产负债表!P19</f>
        <v>4.1999999999998003</v>
      </c>
      <c r="R10" s="41">
        <f>资产负债表!Q19</f>
        <v>4.1999999999998003</v>
      </c>
      <c r="S10" s="41">
        <f>资产负债表!R19</f>
        <v>4.1999999999998003</v>
      </c>
      <c r="T10" s="41">
        <f>资产负债表!S19</f>
        <v>4.1999999999998003</v>
      </c>
      <c r="U10" s="41">
        <f>资产负债表!T19</f>
        <v>4.1999999999998003</v>
      </c>
      <c r="V10" s="41">
        <f>资产负债表!U19</f>
        <v>4.1999999999998003</v>
      </c>
      <c r="W10" s="41">
        <f>资产负债表!V19</f>
        <v>4.1999999999998003</v>
      </c>
      <c r="X10" s="41">
        <f>资产负债表!W19</f>
        <v>0</v>
      </c>
    </row>
    <row r="11" spans="1:24">
      <c r="A11" s="40">
        <v>2.2999999999999998</v>
      </c>
      <c r="B11" s="40" t="s">
        <v>144</v>
      </c>
      <c r="C11" s="40">
        <f>D11</f>
        <v>1528.4816000000001</v>
      </c>
      <c r="D11" s="40">
        <f>资产负债表!C9</f>
        <v>1528.4816000000001</v>
      </c>
      <c r="E11" s="40">
        <f>资产负债表!D9</f>
        <v>0</v>
      </c>
      <c r="F11" s="40">
        <f>资产负债表!E9</f>
        <v>0</v>
      </c>
      <c r="G11" s="40">
        <f>资产负债表!F9</f>
        <v>0</v>
      </c>
      <c r="H11" s="40">
        <f>资产负债表!G9</f>
        <v>0</v>
      </c>
      <c r="I11" s="40">
        <f>资产负债表!H9</f>
        <v>0</v>
      </c>
      <c r="J11" s="40">
        <f>资产负债表!I9</f>
        <v>0</v>
      </c>
      <c r="K11" s="40">
        <f>资产负债表!J9</f>
        <v>0</v>
      </c>
      <c r="L11" s="40">
        <f>资产负债表!K9</f>
        <v>0</v>
      </c>
      <c r="M11" s="40">
        <f>资产负债表!L9</f>
        <v>0</v>
      </c>
      <c r="N11" s="40">
        <f>资产负债表!M9</f>
        <v>0</v>
      </c>
      <c r="O11" s="40">
        <f>资产负债表!N9</f>
        <v>0</v>
      </c>
      <c r="P11" s="40">
        <f>资产负债表!O9</f>
        <v>0</v>
      </c>
      <c r="Q11" s="40">
        <f>资产负债表!P9</f>
        <v>0</v>
      </c>
      <c r="R11" s="40">
        <f>资产负债表!Q9</f>
        <v>0</v>
      </c>
      <c r="S11" s="40">
        <f>资产负债表!R9</f>
        <v>0</v>
      </c>
      <c r="T11" s="40">
        <f>资产负债表!S9</f>
        <v>0</v>
      </c>
      <c r="U11" s="40">
        <f>资产负债表!T9</f>
        <v>0</v>
      </c>
      <c r="V11" s="40">
        <f>资产负债表!U9</f>
        <v>0</v>
      </c>
      <c r="W11" s="40">
        <f>资产负债表!V9</f>
        <v>0</v>
      </c>
      <c r="X11" s="40">
        <f>资产负债表!W9</f>
        <v>0</v>
      </c>
    </row>
    <row r="12" spans="1:24">
      <c r="A12" s="40">
        <v>3</v>
      </c>
      <c r="B12" s="40" t="s">
        <v>168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4">
      <c r="A13" s="40">
        <v>4</v>
      </c>
      <c r="B13" s="40" t="s">
        <v>169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8" spans="1:24" ht="14.25" thickBot="1"/>
    <row r="19" spans="1:24" ht="14.25" thickBot="1">
      <c r="A19" s="95" t="s">
        <v>0</v>
      </c>
      <c r="B19" s="95" t="s">
        <v>11</v>
      </c>
      <c r="C19" s="95" t="s">
        <v>30</v>
      </c>
      <c r="D19" s="1" t="s">
        <v>38</v>
      </c>
      <c r="E19" s="97" t="s">
        <v>39</v>
      </c>
      <c r="F19" s="98"/>
      <c r="G19" s="98"/>
      <c r="H19" s="98"/>
      <c r="I19" s="98"/>
      <c r="J19" s="98"/>
      <c r="K19" s="98"/>
      <c r="L19" s="98"/>
      <c r="M19" s="99"/>
      <c r="N19" s="97" t="s">
        <v>39</v>
      </c>
      <c r="O19" s="98"/>
      <c r="P19" s="98"/>
      <c r="Q19" s="98"/>
      <c r="R19" s="98"/>
      <c r="S19" s="98"/>
      <c r="T19" s="98"/>
      <c r="U19" s="98"/>
      <c r="V19" s="98"/>
      <c r="W19" s="98"/>
      <c r="X19" s="99"/>
    </row>
    <row r="20" spans="1:24" ht="14.25" thickBot="1">
      <c r="A20" s="96"/>
      <c r="B20" s="96"/>
      <c r="C20" s="96"/>
      <c r="D20" s="2" t="s">
        <v>40</v>
      </c>
      <c r="E20" s="2" t="s">
        <v>41</v>
      </c>
      <c r="F20" s="2" t="s">
        <v>42</v>
      </c>
      <c r="G20" s="2" t="s">
        <v>43</v>
      </c>
      <c r="H20" s="2" t="s">
        <v>44</v>
      </c>
      <c r="I20" s="2" t="s">
        <v>45</v>
      </c>
      <c r="J20" s="2" t="s">
        <v>46</v>
      </c>
      <c r="K20" s="2" t="s">
        <v>47</v>
      </c>
      <c r="L20" s="2" t="s">
        <v>48</v>
      </c>
      <c r="M20" s="2" t="s">
        <v>49</v>
      </c>
      <c r="N20" s="2" t="s">
        <v>244</v>
      </c>
      <c r="O20" s="2" t="s">
        <v>245</v>
      </c>
      <c r="P20" s="2" t="s">
        <v>246</v>
      </c>
      <c r="Q20" s="2" t="s">
        <v>247</v>
      </c>
      <c r="R20" s="2" t="s">
        <v>248</v>
      </c>
      <c r="S20" s="2" t="s">
        <v>249</v>
      </c>
      <c r="T20" s="2" t="s">
        <v>250</v>
      </c>
      <c r="U20" s="2" t="s">
        <v>251</v>
      </c>
      <c r="V20" s="2" t="s">
        <v>252</v>
      </c>
      <c r="W20" s="2" t="s">
        <v>253</v>
      </c>
      <c r="X20" s="2" t="s">
        <v>254</v>
      </c>
    </row>
    <row r="21" spans="1:24" ht="24.75" thickBot="1">
      <c r="A21" s="3">
        <v>1</v>
      </c>
      <c r="B21" s="4" t="s">
        <v>164</v>
      </c>
      <c r="C21" s="4">
        <v>22652.22</v>
      </c>
      <c r="D21" s="4">
        <v>0</v>
      </c>
      <c r="E21" s="4">
        <v>1558.82</v>
      </c>
      <c r="F21" s="4">
        <v>1548.73</v>
      </c>
      <c r="G21" s="4">
        <v>1538.64</v>
      </c>
      <c r="H21" s="4">
        <v>1337.48</v>
      </c>
      <c r="I21" s="4">
        <v>1328.65</v>
      </c>
      <c r="J21" s="4">
        <v>1244.1099999999999</v>
      </c>
      <c r="K21" s="4">
        <v>1055.1099999999999</v>
      </c>
      <c r="L21" s="4">
        <v>1047.69</v>
      </c>
      <c r="M21" s="4">
        <v>1040.26</v>
      </c>
      <c r="N21" s="4">
        <v>1032.83</v>
      </c>
      <c r="O21" s="4">
        <v>1025.4100000000001</v>
      </c>
      <c r="P21" s="4">
        <v>1017.98</v>
      </c>
      <c r="Q21" s="4">
        <v>1010.56</v>
      </c>
      <c r="R21" s="4">
        <v>1003.13</v>
      </c>
      <c r="S21" s="4">
        <v>995.7</v>
      </c>
      <c r="T21" s="4">
        <v>988.28</v>
      </c>
      <c r="U21" s="4">
        <v>980.85</v>
      </c>
      <c r="V21" s="4">
        <v>973.42</v>
      </c>
      <c r="W21" s="4">
        <v>966</v>
      </c>
      <c r="X21" s="4">
        <v>958.57</v>
      </c>
    </row>
    <row r="22" spans="1:24" ht="14.25" thickBot="1">
      <c r="A22" s="3">
        <v>1.1000000000000001</v>
      </c>
      <c r="B22" s="4" t="s">
        <v>165</v>
      </c>
      <c r="C22" s="4">
        <v>19409.07</v>
      </c>
      <c r="D22" s="4">
        <v>0</v>
      </c>
      <c r="E22" s="4">
        <v>921.38</v>
      </c>
      <c r="F22" s="4">
        <v>974.67</v>
      </c>
      <c r="G22" s="4">
        <v>1027.97</v>
      </c>
      <c r="H22" s="4">
        <v>946.1</v>
      </c>
      <c r="I22" s="4">
        <v>992.73</v>
      </c>
      <c r="J22" s="4">
        <v>963.66</v>
      </c>
      <c r="K22" s="4">
        <v>862.26</v>
      </c>
      <c r="L22" s="4">
        <v>902.37</v>
      </c>
      <c r="M22" s="4">
        <v>942.48</v>
      </c>
      <c r="N22" s="4">
        <v>982.59</v>
      </c>
      <c r="O22" s="4">
        <v>1022.7</v>
      </c>
      <c r="P22" s="4">
        <v>1015.28</v>
      </c>
      <c r="Q22" s="4">
        <v>1007.85</v>
      </c>
      <c r="R22" s="4">
        <v>1000.43</v>
      </c>
      <c r="S22" s="4">
        <v>993</v>
      </c>
      <c r="T22" s="4">
        <v>985.57</v>
      </c>
      <c r="U22" s="4">
        <v>978.15</v>
      </c>
      <c r="V22" s="4">
        <v>970.72</v>
      </c>
      <c r="W22" s="4">
        <v>963.29</v>
      </c>
      <c r="X22" s="4">
        <v>955.87</v>
      </c>
    </row>
    <row r="23" spans="1:24" ht="14.25" thickBot="1">
      <c r="A23" s="3">
        <v>1.2</v>
      </c>
      <c r="B23" s="4" t="s">
        <v>50</v>
      </c>
      <c r="C23" s="4">
        <v>3558.19</v>
      </c>
      <c r="D23" s="4">
        <v>0</v>
      </c>
      <c r="E23" s="4">
        <v>637.44000000000005</v>
      </c>
      <c r="F23" s="4">
        <v>574.05999999999995</v>
      </c>
      <c r="G23" s="4">
        <v>510.67</v>
      </c>
      <c r="H23" s="4">
        <v>447.29</v>
      </c>
      <c r="I23" s="4">
        <v>383.91</v>
      </c>
      <c r="J23" s="4">
        <v>320.52</v>
      </c>
      <c r="K23" s="4">
        <v>257.14</v>
      </c>
      <c r="L23" s="4">
        <v>193.76</v>
      </c>
      <c r="M23" s="4">
        <v>130.37</v>
      </c>
      <c r="N23" s="4">
        <v>66.989999999999995</v>
      </c>
      <c r="O23" s="4">
        <v>3.6</v>
      </c>
      <c r="P23" s="4">
        <v>3.6</v>
      </c>
      <c r="Q23" s="4">
        <v>3.6</v>
      </c>
      <c r="R23" s="4">
        <v>3.6</v>
      </c>
      <c r="S23" s="4">
        <v>3.6</v>
      </c>
      <c r="T23" s="4">
        <v>3.6</v>
      </c>
      <c r="U23" s="4">
        <v>3.6</v>
      </c>
      <c r="V23" s="4">
        <v>3.6</v>
      </c>
      <c r="W23" s="4">
        <v>3.6</v>
      </c>
      <c r="X23" s="4">
        <v>3.6</v>
      </c>
    </row>
    <row r="24" spans="1:24" ht="14.25" thickBot="1">
      <c r="A24" s="3">
        <v>2</v>
      </c>
      <c r="B24" s="4" t="s">
        <v>166</v>
      </c>
      <c r="C24" s="4">
        <v>14223.8</v>
      </c>
      <c r="D24" s="4">
        <v>0</v>
      </c>
      <c r="E24" s="4">
        <v>766.57</v>
      </c>
      <c r="F24" s="4">
        <v>745.86</v>
      </c>
      <c r="G24" s="4">
        <v>724.82</v>
      </c>
      <c r="H24" s="4">
        <v>703.19</v>
      </c>
      <c r="I24" s="4">
        <v>680.84</v>
      </c>
      <c r="J24" s="4">
        <v>658.85</v>
      </c>
      <c r="K24" s="4">
        <v>634.19000000000005</v>
      </c>
      <c r="L24" s="4">
        <v>608.26</v>
      </c>
      <c r="M24" s="4">
        <v>583.99</v>
      </c>
      <c r="N24" s="4">
        <v>561.35</v>
      </c>
      <c r="O24" s="4">
        <v>571.41999999999996</v>
      </c>
      <c r="P24" s="4">
        <v>613.19000000000005</v>
      </c>
      <c r="Q24" s="4">
        <v>654.66999999999996</v>
      </c>
      <c r="R24" s="4">
        <v>695.84</v>
      </c>
      <c r="S24" s="4">
        <v>736.7</v>
      </c>
      <c r="T24" s="4">
        <v>777.26</v>
      </c>
      <c r="U24" s="4">
        <v>817.52</v>
      </c>
      <c r="V24" s="4">
        <v>857.47</v>
      </c>
      <c r="W24" s="4">
        <v>897.12</v>
      </c>
      <c r="X24" s="4">
        <v>934.7</v>
      </c>
    </row>
    <row r="25" spans="1:24" ht="14.25" thickBot="1">
      <c r="A25" s="3">
        <v>2.1</v>
      </c>
      <c r="B25" s="4" t="s">
        <v>153</v>
      </c>
      <c r="C25" s="4"/>
      <c r="D25" s="4">
        <v>3786.35</v>
      </c>
      <c r="E25" s="4">
        <v>4744.6400000000003</v>
      </c>
      <c r="F25" s="4">
        <v>5719.32</v>
      </c>
      <c r="G25" s="4">
        <v>6747.28</v>
      </c>
      <c r="H25" s="4">
        <v>7693.38</v>
      </c>
      <c r="I25" s="4">
        <v>8686.11</v>
      </c>
      <c r="J25" s="4">
        <v>9649.77</v>
      </c>
      <c r="K25" s="4">
        <v>10512.03</v>
      </c>
      <c r="L25" s="4">
        <v>11414.4</v>
      </c>
      <c r="M25" s="4">
        <v>12356.88</v>
      </c>
      <c r="N25" s="4">
        <v>13339.48</v>
      </c>
      <c r="O25" s="4">
        <v>14362.18</v>
      </c>
      <c r="P25" s="4">
        <v>15377.46</v>
      </c>
      <c r="Q25" s="4">
        <v>16385.310000000001</v>
      </c>
      <c r="R25" s="4">
        <v>17385.740000000002</v>
      </c>
      <c r="S25" s="4">
        <v>18378.73</v>
      </c>
      <c r="T25" s="4">
        <v>19364.310000000001</v>
      </c>
      <c r="U25" s="4">
        <v>20342.45</v>
      </c>
      <c r="V25" s="4">
        <v>21313.17</v>
      </c>
      <c r="W25" s="4">
        <v>22276.47</v>
      </c>
      <c r="X25" s="4">
        <v>23232.33</v>
      </c>
    </row>
    <row r="26" spans="1:24" ht="14.25" thickBot="1">
      <c r="A26" s="3">
        <v>2.2000000000000002</v>
      </c>
      <c r="B26" s="4" t="s">
        <v>167</v>
      </c>
      <c r="C26" s="4"/>
      <c r="D26" s="4">
        <v>15145.42</v>
      </c>
      <c r="E26" s="4">
        <v>13717.01</v>
      </c>
      <c r="F26" s="4">
        <v>12202.47</v>
      </c>
      <c r="G26" s="4">
        <v>10687.92</v>
      </c>
      <c r="H26" s="4">
        <v>9173.3799999999992</v>
      </c>
      <c r="I26" s="4">
        <v>7658.84</v>
      </c>
      <c r="J26" s="4">
        <v>6144.3</v>
      </c>
      <c r="K26" s="4">
        <v>4629.76</v>
      </c>
      <c r="L26" s="4">
        <v>3115.21</v>
      </c>
      <c r="M26" s="4">
        <v>1600.67</v>
      </c>
      <c r="N26" s="4">
        <v>86.13</v>
      </c>
      <c r="O26" s="4">
        <v>86.13</v>
      </c>
      <c r="P26" s="4">
        <v>86.13</v>
      </c>
      <c r="Q26" s="4">
        <v>86.13</v>
      </c>
      <c r="R26" s="4">
        <v>86.13</v>
      </c>
      <c r="S26" s="4">
        <v>86.13</v>
      </c>
      <c r="T26" s="4">
        <v>86.13</v>
      </c>
      <c r="U26" s="4">
        <v>86.13</v>
      </c>
      <c r="V26" s="4">
        <v>86.13</v>
      </c>
      <c r="W26" s="4">
        <v>86.13</v>
      </c>
      <c r="X26" s="4">
        <v>0</v>
      </c>
    </row>
    <row r="27" spans="1:24" ht="14.25" thickBot="1">
      <c r="A27" s="3">
        <v>2.2999999999999998</v>
      </c>
      <c r="B27" s="4" t="s">
        <v>144</v>
      </c>
      <c r="C27" s="4">
        <v>18931.77</v>
      </c>
      <c r="D27" s="4">
        <v>18931.77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</row>
    <row r="28" spans="1:24" ht="14.25" thickBot="1">
      <c r="A28" s="3">
        <v>3</v>
      </c>
      <c r="B28" s="4" t="s">
        <v>168</v>
      </c>
      <c r="C28" s="4">
        <v>8428.41</v>
      </c>
      <c r="D28" s="4">
        <v>0</v>
      </c>
      <c r="E28" s="4">
        <v>792.26</v>
      </c>
      <c r="F28" s="4">
        <v>802.87</v>
      </c>
      <c r="G28" s="4">
        <v>813.82</v>
      </c>
      <c r="H28" s="4">
        <v>634.29</v>
      </c>
      <c r="I28" s="4">
        <v>647.80999999999995</v>
      </c>
      <c r="J28" s="4">
        <v>585.26</v>
      </c>
      <c r="K28" s="4">
        <v>420.93</v>
      </c>
      <c r="L28" s="4">
        <v>439.42</v>
      </c>
      <c r="M28" s="4">
        <v>456.27</v>
      </c>
      <c r="N28" s="4">
        <v>471.48</v>
      </c>
      <c r="O28" s="4">
        <v>453.99</v>
      </c>
      <c r="P28" s="4">
        <v>404.79</v>
      </c>
      <c r="Q28" s="4">
        <v>355.89</v>
      </c>
      <c r="R28" s="4">
        <v>307.29000000000002</v>
      </c>
      <c r="S28" s="4">
        <v>259</v>
      </c>
      <c r="T28" s="4">
        <v>211.01</v>
      </c>
      <c r="U28" s="4">
        <v>163.33000000000001</v>
      </c>
      <c r="V28" s="4">
        <v>115.95</v>
      </c>
      <c r="W28" s="4">
        <v>68.88</v>
      </c>
      <c r="X28" s="4">
        <v>23.87</v>
      </c>
    </row>
    <row r="29" spans="1:24" ht="14.25" thickBot="1">
      <c r="A29" s="3">
        <v>4</v>
      </c>
      <c r="B29" s="4" t="s">
        <v>169</v>
      </c>
      <c r="C29" s="4"/>
      <c r="D29" s="4">
        <v>0</v>
      </c>
      <c r="E29" s="4">
        <v>792.26</v>
      </c>
      <c r="F29" s="4">
        <v>10.61</v>
      </c>
      <c r="G29" s="4">
        <v>10.95</v>
      </c>
      <c r="H29" s="4">
        <v>-179.53</v>
      </c>
      <c r="I29" s="4">
        <v>13.52</v>
      </c>
      <c r="J29" s="4">
        <v>-62.55</v>
      </c>
      <c r="K29" s="4">
        <v>-164.33</v>
      </c>
      <c r="L29" s="4">
        <v>18.489999999999998</v>
      </c>
      <c r="M29" s="4">
        <v>16.850000000000001</v>
      </c>
      <c r="N29" s="4">
        <v>15.21</v>
      </c>
      <c r="O29" s="4">
        <v>-17.489999999999998</v>
      </c>
      <c r="P29" s="4">
        <v>-49.2</v>
      </c>
      <c r="Q29" s="4">
        <v>-48.9</v>
      </c>
      <c r="R29" s="4">
        <v>-48.6</v>
      </c>
      <c r="S29" s="4">
        <v>-48.29</v>
      </c>
      <c r="T29" s="4">
        <v>-47.99</v>
      </c>
      <c r="U29" s="4">
        <v>-47.68</v>
      </c>
      <c r="V29" s="4">
        <v>-47.38</v>
      </c>
      <c r="W29" s="4">
        <v>-47.07</v>
      </c>
      <c r="X29" s="4">
        <v>-45.01</v>
      </c>
    </row>
  </sheetData>
  <sheetProtection password="C6BB" sheet="1" objects="1" scenarios="1"/>
  <mergeCells count="11">
    <mergeCell ref="A1:X2"/>
    <mergeCell ref="A19:A20"/>
    <mergeCell ref="B19:B20"/>
    <mergeCell ref="C19:C20"/>
    <mergeCell ref="E19:M19"/>
    <mergeCell ref="N19:X19"/>
    <mergeCell ref="A3:A4"/>
    <mergeCell ref="B3:B4"/>
    <mergeCell ref="C3:C4"/>
    <mergeCell ref="E3:M3"/>
    <mergeCell ref="N3:X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32" sqref="E32"/>
    </sheetView>
  </sheetViews>
  <sheetFormatPr defaultRowHeight="13.5"/>
  <cols>
    <col min="2" max="2" width="14.75" customWidth="1"/>
    <col min="3" max="3" width="16.5" customWidth="1"/>
    <col min="4" max="4" width="10.5" bestFit="1" customWidth="1"/>
  </cols>
  <sheetData>
    <row r="1" spans="1:11">
      <c r="A1" s="70" t="s">
        <v>240</v>
      </c>
      <c r="B1" s="70"/>
      <c r="C1" s="70"/>
      <c r="D1" s="70"/>
      <c r="E1" s="70"/>
    </row>
    <row r="2" spans="1:11">
      <c r="A2" s="70"/>
      <c r="B2" s="70"/>
      <c r="C2" s="70"/>
      <c r="D2" s="70"/>
      <c r="E2" s="70"/>
    </row>
    <row r="3" spans="1:11">
      <c r="A3" s="70" t="s">
        <v>215</v>
      </c>
      <c r="B3" s="70" t="s">
        <v>216</v>
      </c>
      <c r="C3" s="70" t="s">
        <v>217</v>
      </c>
      <c r="D3" s="70" t="s">
        <v>218</v>
      </c>
      <c r="E3" s="70"/>
    </row>
    <row r="4" spans="1:11">
      <c r="A4" s="70"/>
      <c r="B4" s="70"/>
      <c r="C4" s="70"/>
      <c r="D4" s="7" t="s">
        <v>226</v>
      </c>
      <c r="E4" s="7" t="s">
        <v>227</v>
      </c>
    </row>
    <row r="5" spans="1:11">
      <c r="A5" s="7">
        <v>1</v>
      </c>
      <c r="B5" s="7" t="s">
        <v>219</v>
      </c>
      <c r="C5" s="10">
        <f>C6+C7+C8</f>
        <v>1534.4816000000001</v>
      </c>
      <c r="D5" s="22">
        <f>C6+C7</f>
        <v>1528.4816000000001</v>
      </c>
      <c r="E5" s="10">
        <f>E6+E7+E8</f>
        <v>6</v>
      </c>
    </row>
    <row r="6" spans="1:11">
      <c r="A6" s="7">
        <v>1.1000000000000001</v>
      </c>
      <c r="B6" s="7" t="s">
        <v>220</v>
      </c>
      <c r="C6" s="10">
        <f>主要技术经济指标!D5*主要技术经济指标!D7/10</f>
        <v>1520</v>
      </c>
      <c r="D6" s="10">
        <f>C6</f>
        <v>1520</v>
      </c>
      <c r="E6" s="7">
        <v>0</v>
      </c>
    </row>
    <row r="7" spans="1:11">
      <c r="A7" s="7">
        <v>1.2</v>
      </c>
      <c r="B7" s="7" t="s">
        <v>221</v>
      </c>
      <c r="C7" s="10">
        <f>项目总投资资金筹措计划表!C6*主要技术经济指标!D11/100/12*主要技术经济指标!D8*(1-主要技术经济指标!D9)/2</f>
        <v>8.4815999999999985</v>
      </c>
      <c r="D7" s="10">
        <f>C7</f>
        <v>8.4815999999999985</v>
      </c>
      <c r="E7" s="7">
        <v>0</v>
      </c>
    </row>
    <row r="8" spans="1:11">
      <c r="A8" s="7">
        <v>1.3</v>
      </c>
      <c r="B8" s="7" t="s">
        <v>175</v>
      </c>
      <c r="C8" s="10">
        <f>主要技术经济指标!D22*主要技术经济指标!D5/10</f>
        <v>6</v>
      </c>
      <c r="D8" s="7">
        <v>0</v>
      </c>
      <c r="E8" s="10">
        <f>C8</f>
        <v>6</v>
      </c>
    </row>
    <row r="9" spans="1:11">
      <c r="A9" s="7">
        <v>2</v>
      </c>
      <c r="B9" s="7" t="s">
        <v>225</v>
      </c>
      <c r="C9" s="10">
        <f>C10+C13</f>
        <v>1534.4816000000001</v>
      </c>
      <c r="D9" s="10">
        <f>D5</f>
        <v>1528.4816000000001</v>
      </c>
      <c r="E9" s="10">
        <f>E5</f>
        <v>6</v>
      </c>
    </row>
    <row r="10" spans="1:11" ht="27">
      <c r="A10" s="7">
        <v>2.1</v>
      </c>
      <c r="B10" s="9" t="s">
        <v>224</v>
      </c>
      <c r="C10" s="10">
        <f>C11+C12</f>
        <v>307.49632000000003</v>
      </c>
      <c r="D10" s="10">
        <f>D11+D12</f>
        <v>305.69632000000001</v>
      </c>
      <c r="E10" s="10">
        <f>E11+E12</f>
        <v>1.8000000000000003</v>
      </c>
    </row>
    <row r="11" spans="1:11">
      <c r="A11" s="7" t="s">
        <v>228</v>
      </c>
      <c r="B11" s="7" t="s">
        <v>230</v>
      </c>
      <c r="C11" s="10">
        <f>D5*主要技术经济指标!D9</f>
        <v>305.69632000000001</v>
      </c>
      <c r="D11" s="10">
        <f>C11</f>
        <v>305.69632000000001</v>
      </c>
      <c r="E11" s="7">
        <v>0</v>
      </c>
    </row>
    <row r="12" spans="1:11">
      <c r="A12" s="7" t="s">
        <v>229</v>
      </c>
      <c r="B12" s="7" t="s">
        <v>231</v>
      </c>
      <c r="C12" s="10">
        <f>C8*主要技术经济指标!D24</f>
        <v>1.8000000000000003</v>
      </c>
      <c r="D12" s="7">
        <v>0</v>
      </c>
      <c r="E12" s="10">
        <f>C12</f>
        <v>1.8000000000000003</v>
      </c>
    </row>
    <row r="13" spans="1:11">
      <c r="A13" s="7">
        <v>2.2000000000000002</v>
      </c>
      <c r="B13" s="7" t="s">
        <v>232</v>
      </c>
      <c r="C13" s="10">
        <f>C14+C17</f>
        <v>1226.9852800000001</v>
      </c>
      <c r="D13" s="10">
        <f>D14</f>
        <v>1222.7852800000001</v>
      </c>
      <c r="E13" s="10">
        <f>E14+E15+E16+E17</f>
        <v>4.1999999999999993</v>
      </c>
    </row>
    <row r="14" spans="1:11">
      <c r="A14" s="7" t="s">
        <v>233</v>
      </c>
      <c r="B14" s="7" t="s">
        <v>234</v>
      </c>
      <c r="C14" s="10">
        <f>C15+C16</f>
        <v>1222.7852800000001</v>
      </c>
      <c r="D14" s="10">
        <f>D15+D16+D17</f>
        <v>1222.7852800000001</v>
      </c>
      <c r="E14" s="25">
        <v>0</v>
      </c>
      <c r="K14" s="5"/>
    </row>
    <row r="15" spans="1:11">
      <c r="A15" s="7"/>
      <c r="B15" s="7" t="s">
        <v>235</v>
      </c>
      <c r="C15" s="10">
        <f>D5*主要技术经济指标!D23-C7</f>
        <v>1214.30368</v>
      </c>
      <c r="D15" s="10">
        <f>C15</f>
        <v>1214.30368</v>
      </c>
      <c r="E15" s="7">
        <v>0</v>
      </c>
    </row>
    <row r="16" spans="1:11">
      <c r="A16" s="7"/>
      <c r="B16" s="7" t="s">
        <v>221</v>
      </c>
      <c r="C16" s="10">
        <f>C7</f>
        <v>8.4815999999999985</v>
      </c>
      <c r="D16" s="10">
        <f>C16</f>
        <v>8.4815999999999985</v>
      </c>
      <c r="E16" s="7">
        <v>0</v>
      </c>
    </row>
    <row r="17" spans="1:5">
      <c r="A17" s="7" t="s">
        <v>236</v>
      </c>
      <c r="B17" s="7" t="s">
        <v>237</v>
      </c>
      <c r="C17" s="10">
        <f>C8*主要技术经济指标!D10</f>
        <v>4.1999999999999993</v>
      </c>
      <c r="D17" s="7">
        <v>0</v>
      </c>
      <c r="E17" s="8">
        <f>C17</f>
        <v>4.1999999999999993</v>
      </c>
    </row>
    <row r="18" spans="1:5">
      <c r="A18" s="23"/>
      <c r="B18" s="23"/>
      <c r="C18" s="24"/>
      <c r="D18" s="23"/>
      <c r="E18" s="23"/>
    </row>
    <row r="19" spans="1:5">
      <c r="A19" s="23"/>
      <c r="B19" s="23"/>
      <c r="C19" s="24"/>
      <c r="D19" s="23"/>
      <c r="E19" s="23"/>
    </row>
    <row r="20" spans="1:5">
      <c r="A20" s="23"/>
      <c r="B20" s="23"/>
      <c r="C20" s="24"/>
      <c r="D20" s="23"/>
      <c r="E20" s="23"/>
    </row>
  </sheetData>
  <sheetProtection password="C6BB" sheet="1" objects="1" scenarios="1"/>
  <mergeCells count="5">
    <mergeCell ref="D3:E3"/>
    <mergeCell ref="C3:C4"/>
    <mergeCell ref="B3:B4"/>
    <mergeCell ref="A3:A4"/>
    <mergeCell ref="A1:E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workbookViewId="0">
      <selection activeCell="F34" sqref="D28:F34"/>
    </sheetView>
  </sheetViews>
  <sheetFormatPr defaultRowHeight="13.5"/>
  <cols>
    <col min="1" max="1" width="4.625" customWidth="1"/>
    <col min="2" max="2" width="15.625" customWidth="1"/>
    <col min="3" max="3" width="11.25" customWidth="1"/>
    <col min="4" max="4" width="14.25" customWidth="1"/>
    <col min="5" max="5" width="12.625" customWidth="1"/>
    <col min="6" max="12" width="10.5" bestFit="1" customWidth="1"/>
    <col min="13" max="23" width="9.5" bestFit="1" customWidth="1"/>
  </cols>
  <sheetData>
    <row r="1" spans="1:24" ht="13.5" customHeight="1">
      <c r="A1" s="72" t="s">
        <v>257</v>
      </c>
      <c r="B1" s="72"/>
      <c r="C1" s="72"/>
      <c r="D1" s="72"/>
      <c r="E1" s="72"/>
      <c r="F1" s="72"/>
      <c r="G1" s="72"/>
      <c r="H1" s="72"/>
      <c r="I1" s="47"/>
      <c r="J1" s="47"/>
      <c r="K1" s="47"/>
      <c r="L1" s="47"/>
      <c r="M1" s="48"/>
    </row>
    <row r="2" spans="1:24" ht="13.5" customHeight="1">
      <c r="A2" s="72"/>
      <c r="B2" s="72"/>
      <c r="C2" s="72"/>
      <c r="D2" s="72"/>
      <c r="E2" s="72"/>
      <c r="F2" s="72"/>
      <c r="G2" s="72"/>
      <c r="H2" s="72"/>
      <c r="I2" s="49"/>
      <c r="J2" s="49"/>
      <c r="K2" s="49"/>
      <c r="L2" s="49"/>
      <c r="M2" s="50"/>
    </row>
    <row r="3" spans="1:24" ht="27">
      <c r="A3" s="7" t="s">
        <v>216</v>
      </c>
      <c r="B3" s="7" t="s">
        <v>258</v>
      </c>
      <c r="C3" s="7">
        <f>项目总投资资金筹措计划表!C6</f>
        <v>1520</v>
      </c>
      <c r="D3" s="70" t="s">
        <v>262</v>
      </c>
      <c r="E3" s="70"/>
      <c r="F3" s="22">
        <f>F4+F5+F6</f>
        <v>141.31471186359667</v>
      </c>
      <c r="G3" s="26" t="s">
        <v>264</v>
      </c>
      <c r="H3" s="22">
        <f>C3-F3+项目总投资资金筹措计划表!C16</f>
        <v>1387.1668881364035</v>
      </c>
      <c r="I3" s="35"/>
      <c r="J3" s="46"/>
      <c r="K3" s="46"/>
      <c r="L3" s="46"/>
      <c r="M3" s="46"/>
    </row>
    <row r="4" spans="1:24" ht="30.75" customHeight="1">
      <c r="A4" s="7">
        <v>1</v>
      </c>
      <c r="B4" s="9" t="s">
        <v>170</v>
      </c>
      <c r="C4" s="8">
        <f>C3*0.6021041</f>
        <v>915.19823200000008</v>
      </c>
      <c r="D4" s="9" t="s">
        <v>263</v>
      </c>
      <c r="E4" s="16">
        <v>0.13</v>
      </c>
      <c r="F4" s="10">
        <f>C4*0.13/1.13</f>
        <v>105.28829217699116</v>
      </c>
      <c r="G4" s="26" t="s">
        <v>265</v>
      </c>
      <c r="H4" s="10">
        <f>H3*主要技术经济指标!D25</f>
        <v>41.615006644092105</v>
      </c>
      <c r="I4" s="35"/>
      <c r="J4" s="46"/>
      <c r="K4" s="46"/>
      <c r="L4" s="46"/>
      <c r="M4" s="46"/>
    </row>
    <row r="5" spans="1:24" ht="33.75" customHeight="1">
      <c r="A5" s="7">
        <v>2</v>
      </c>
      <c r="B5" s="9" t="s">
        <v>171</v>
      </c>
      <c r="C5" s="8">
        <f>C3*0.141292813</f>
        <v>214.76507575999997</v>
      </c>
      <c r="D5" s="9" t="s">
        <v>259</v>
      </c>
      <c r="E5" s="16">
        <v>0.09</v>
      </c>
      <c r="F5" s="10">
        <f>C5*0.09/1.09</f>
        <v>17.732896163669722</v>
      </c>
      <c r="G5" s="7" t="s">
        <v>266</v>
      </c>
      <c r="H5" s="10">
        <f>H3-H4</f>
        <v>1345.5518814923114</v>
      </c>
      <c r="I5" s="46"/>
      <c r="J5" s="46"/>
      <c r="K5" s="46"/>
      <c r="L5" s="46"/>
      <c r="M5" s="46"/>
    </row>
    <row r="6" spans="1:24" ht="29.25" customHeight="1">
      <c r="A6" s="7">
        <v>3</v>
      </c>
      <c r="B6" s="9" t="s">
        <v>173</v>
      </c>
      <c r="C6" s="8">
        <f>C3*0.1457598</f>
        <v>221.55489599999999</v>
      </c>
      <c r="D6" s="9" t="s">
        <v>260</v>
      </c>
      <c r="E6" s="16">
        <v>0.09</v>
      </c>
      <c r="F6" s="10">
        <f>C6*0.09/1.09</f>
        <v>18.293523522935779</v>
      </c>
      <c r="G6" s="6"/>
      <c r="H6" s="6"/>
      <c r="I6" s="23"/>
      <c r="J6" s="23"/>
      <c r="K6" s="23"/>
      <c r="L6" s="23"/>
      <c r="M6" s="23"/>
    </row>
    <row r="7" spans="1:24">
      <c r="A7" s="7">
        <v>4</v>
      </c>
      <c r="B7" s="7" t="s">
        <v>174</v>
      </c>
      <c r="C7" s="8">
        <f>C3*0.110843287</f>
        <v>168.48179623999999</v>
      </c>
      <c r="D7" s="7" t="s">
        <v>261</v>
      </c>
      <c r="E7" s="6"/>
      <c r="F7" s="6"/>
      <c r="G7" s="6"/>
      <c r="H7" s="6"/>
      <c r="I7" s="23"/>
      <c r="J7" s="23"/>
      <c r="K7" s="23"/>
      <c r="L7" s="23"/>
      <c r="M7" s="23"/>
    </row>
    <row r="8" spans="1:24">
      <c r="A8" s="75" t="s">
        <v>241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4">
      <c r="A10" s="73" t="s">
        <v>215</v>
      </c>
      <c r="B10" s="73" t="s">
        <v>216</v>
      </c>
      <c r="C10" s="73" t="s">
        <v>217</v>
      </c>
      <c r="D10" s="7" t="s">
        <v>242</v>
      </c>
      <c r="E10" s="70" t="s">
        <v>243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>
      <c r="A11" s="74"/>
      <c r="B11" s="74"/>
      <c r="C11" s="74"/>
      <c r="D11" s="7" t="s">
        <v>226</v>
      </c>
      <c r="E11" s="7" t="s">
        <v>227</v>
      </c>
      <c r="F11" s="7" t="s">
        <v>42</v>
      </c>
      <c r="G11" s="7" t="s">
        <v>43</v>
      </c>
      <c r="H11" s="7" t="s">
        <v>44</v>
      </c>
      <c r="I11" s="7" t="s">
        <v>45</v>
      </c>
      <c r="J11" s="7" t="s">
        <v>46</v>
      </c>
      <c r="K11" s="7" t="s">
        <v>47</v>
      </c>
      <c r="L11" s="7" t="s">
        <v>48</v>
      </c>
      <c r="M11" s="7" t="s">
        <v>49</v>
      </c>
      <c r="N11" s="7" t="s">
        <v>244</v>
      </c>
      <c r="O11" s="7" t="s">
        <v>245</v>
      </c>
      <c r="P11" s="7" t="s">
        <v>246</v>
      </c>
      <c r="Q11" s="7" t="s">
        <v>247</v>
      </c>
      <c r="R11" s="7" t="s">
        <v>248</v>
      </c>
      <c r="S11" s="7" t="s">
        <v>249</v>
      </c>
      <c r="T11" s="7" t="s">
        <v>250</v>
      </c>
      <c r="U11" s="7" t="s">
        <v>251</v>
      </c>
      <c r="V11" s="7" t="s">
        <v>252</v>
      </c>
      <c r="W11" s="7" t="s">
        <v>253</v>
      </c>
      <c r="X11" s="7" t="s">
        <v>254</v>
      </c>
    </row>
    <row r="12" spans="1:24">
      <c r="A12" s="7">
        <v>1</v>
      </c>
      <c r="B12" s="7" t="s">
        <v>255</v>
      </c>
      <c r="C12" s="44">
        <f>D12+E12+F12+G12+H12+I12+J12+K12+L12+M12+N12+O12+P12+Q12+R12+S12+T12+U12+V12+W12+X12</f>
        <v>1345.5518814923109</v>
      </c>
      <c r="D12" s="27">
        <v>0</v>
      </c>
      <c r="E12" s="10">
        <f>H5/主要技术经济指标!D20</f>
        <v>67.277594074615564</v>
      </c>
      <c r="F12" s="10">
        <f>E12</f>
        <v>67.277594074615564</v>
      </c>
      <c r="G12" s="10">
        <f>E12</f>
        <v>67.277594074615564</v>
      </c>
      <c r="H12" s="10">
        <f>E12</f>
        <v>67.277594074615564</v>
      </c>
      <c r="I12" s="10">
        <f>E12</f>
        <v>67.277594074615564</v>
      </c>
      <c r="J12" s="10">
        <f>E12</f>
        <v>67.277594074615564</v>
      </c>
      <c r="K12" s="10">
        <f>E12</f>
        <v>67.277594074615564</v>
      </c>
      <c r="L12" s="10">
        <f>E12</f>
        <v>67.277594074615564</v>
      </c>
      <c r="M12" s="10">
        <f>E12</f>
        <v>67.277594074615564</v>
      </c>
      <c r="N12" s="10">
        <f>E12</f>
        <v>67.277594074615564</v>
      </c>
      <c r="O12" s="10">
        <f>E12</f>
        <v>67.277594074615564</v>
      </c>
      <c r="P12" s="10">
        <f>E12</f>
        <v>67.277594074615564</v>
      </c>
      <c r="Q12" s="10">
        <f>E12</f>
        <v>67.277594074615564</v>
      </c>
      <c r="R12" s="10">
        <f>E12</f>
        <v>67.277594074615564</v>
      </c>
      <c r="S12" s="10">
        <f>E12</f>
        <v>67.277594074615564</v>
      </c>
      <c r="T12" s="10">
        <f>E12</f>
        <v>67.277594074615564</v>
      </c>
      <c r="U12" s="10">
        <f>E12</f>
        <v>67.277594074615564</v>
      </c>
      <c r="V12" s="10">
        <f>E12</f>
        <v>67.277594074615564</v>
      </c>
      <c r="W12" s="10">
        <f>E12</f>
        <v>67.277594074615564</v>
      </c>
      <c r="X12" s="10">
        <f>E12</f>
        <v>67.277594074615564</v>
      </c>
    </row>
    <row r="13" spans="1:24">
      <c r="A13" s="7">
        <v>2</v>
      </c>
      <c r="B13" s="7" t="s">
        <v>267</v>
      </c>
      <c r="C13" s="10">
        <f>E13+F13+G13+H13+I13+J13+K13+L13+M13+N13+O13+P13+Q13+R13+S13+T13+U13+V13+W13+X13</f>
        <v>117.90918549159427</v>
      </c>
      <c r="D13" s="27">
        <v>0</v>
      </c>
      <c r="E13" s="10">
        <f>H3*0.002</f>
        <v>2.7743337762728069</v>
      </c>
      <c r="F13" s="10">
        <f>H3*0.002</f>
        <v>2.7743337762728069</v>
      </c>
      <c r="G13" s="10">
        <f>H3*0.002</f>
        <v>2.7743337762728069</v>
      </c>
      <c r="H13" s="10">
        <f>H3*0.002</f>
        <v>2.7743337762728069</v>
      </c>
      <c r="I13" s="10">
        <f>H3*0.002</f>
        <v>2.7743337762728069</v>
      </c>
      <c r="J13" s="10">
        <f>H3*0.005</f>
        <v>6.9358344406820178</v>
      </c>
      <c r="K13" s="10">
        <f>H3*0.005</f>
        <v>6.9358344406820178</v>
      </c>
      <c r="L13" s="10">
        <f>H3*0.005</f>
        <v>6.9358344406820178</v>
      </c>
      <c r="M13" s="10">
        <f>H3*0.005</f>
        <v>6.9358344406820178</v>
      </c>
      <c r="N13" s="10">
        <f>H3*0.005</f>
        <v>6.9358344406820178</v>
      </c>
      <c r="O13" s="10">
        <f>H3*0.005</f>
        <v>6.9358344406820178</v>
      </c>
      <c r="P13" s="10">
        <f>H3*0.005</f>
        <v>6.9358344406820178</v>
      </c>
      <c r="Q13" s="10">
        <f>H3*0.005</f>
        <v>6.9358344406820178</v>
      </c>
      <c r="R13" s="10">
        <f>H3*0.005</f>
        <v>6.9358344406820178</v>
      </c>
      <c r="S13" s="10">
        <f>H3*0.005</f>
        <v>6.9358344406820178</v>
      </c>
      <c r="T13" s="10">
        <f>H3*0.005</f>
        <v>6.9358344406820178</v>
      </c>
      <c r="U13" s="10">
        <f>H3*0.005</f>
        <v>6.9358344406820178</v>
      </c>
      <c r="V13" s="10">
        <f>H3*0.005</f>
        <v>6.9358344406820178</v>
      </c>
      <c r="W13" s="10">
        <f>H3*0.005</f>
        <v>6.9358344406820178</v>
      </c>
      <c r="X13" s="10">
        <f>H3*0.005</f>
        <v>6.9358344406820178</v>
      </c>
    </row>
    <row r="14" spans="1:24">
      <c r="A14" s="7">
        <v>3</v>
      </c>
      <c r="B14" s="7" t="s">
        <v>268</v>
      </c>
      <c r="C14" s="7">
        <f>E14+F14+G14+H14+I14+J14+K14+L14+M14+N14+O14+P14+Q14+R14+S14+T14+U14+V14+W14+X14</f>
        <v>900</v>
      </c>
      <c r="D14" s="27">
        <v>0</v>
      </c>
      <c r="E14" s="7">
        <f>主要技术经济指标!D14*主要技术经济指标!D26</f>
        <v>45</v>
      </c>
      <c r="F14" s="7">
        <f t="shared" ref="F14:X14" si="0">E14</f>
        <v>45</v>
      </c>
      <c r="G14" s="7">
        <f t="shared" si="0"/>
        <v>45</v>
      </c>
      <c r="H14" s="7">
        <f t="shared" si="0"/>
        <v>45</v>
      </c>
      <c r="I14" s="7">
        <f t="shared" si="0"/>
        <v>45</v>
      </c>
      <c r="J14" s="7">
        <f t="shared" si="0"/>
        <v>45</v>
      </c>
      <c r="K14" s="7">
        <f t="shared" si="0"/>
        <v>45</v>
      </c>
      <c r="L14" s="7">
        <f t="shared" si="0"/>
        <v>45</v>
      </c>
      <c r="M14" s="7">
        <f t="shared" si="0"/>
        <v>45</v>
      </c>
      <c r="N14" s="7">
        <f t="shared" si="0"/>
        <v>45</v>
      </c>
      <c r="O14" s="7">
        <f t="shared" si="0"/>
        <v>45</v>
      </c>
      <c r="P14" s="7">
        <f t="shared" si="0"/>
        <v>45</v>
      </c>
      <c r="Q14" s="7">
        <f t="shared" si="0"/>
        <v>45</v>
      </c>
      <c r="R14" s="7">
        <f t="shared" si="0"/>
        <v>45</v>
      </c>
      <c r="S14" s="7">
        <f t="shared" si="0"/>
        <v>45</v>
      </c>
      <c r="T14" s="7">
        <f t="shared" si="0"/>
        <v>45</v>
      </c>
      <c r="U14" s="7">
        <f t="shared" si="0"/>
        <v>45</v>
      </c>
      <c r="V14" s="7">
        <f t="shared" si="0"/>
        <v>45</v>
      </c>
      <c r="W14" s="7">
        <f t="shared" si="0"/>
        <v>45</v>
      </c>
      <c r="X14" s="7">
        <f t="shared" si="0"/>
        <v>45</v>
      </c>
    </row>
    <row r="15" spans="1:24">
      <c r="A15" s="7">
        <v>4</v>
      </c>
      <c r="B15" s="7" t="s">
        <v>271</v>
      </c>
      <c r="C15" s="10">
        <f>E15+F15+G15+H15+I15+J15+K15+L15+M15+N15+O15+P15+Q15+R15+S15+T15+U15+V15+W15+X15</f>
        <v>34.037607517647018</v>
      </c>
      <c r="D15" s="27">
        <v>0</v>
      </c>
      <c r="E15" s="10">
        <f>E16*0.0025</f>
        <v>3.2997232351544699</v>
      </c>
      <c r="F15" s="10">
        <f t="shared" ref="F15:X15" si="1">F16*0.0025</f>
        <v>3.1315292499679312</v>
      </c>
      <c r="G15" s="10">
        <f t="shared" si="1"/>
        <v>2.9633352647813922</v>
      </c>
      <c r="H15" s="10">
        <f t="shared" si="1"/>
        <v>2.7951412795948536</v>
      </c>
      <c r="I15" s="10">
        <f t="shared" si="1"/>
        <v>2.6269472944083145</v>
      </c>
      <c r="J15" s="10">
        <f t="shared" si="1"/>
        <v>2.4587533092217759</v>
      </c>
      <c r="K15" s="10">
        <f t="shared" si="1"/>
        <v>2.2905593240352369</v>
      </c>
      <c r="L15" s="10">
        <f t="shared" si="1"/>
        <v>2.1223653388486978</v>
      </c>
      <c r="M15" s="10">
        <f t="shared" si="1"/>
        <v>1.9541713536621592</v>
      </c>
      <c r="N15" s="10">
        <f t="shared" si="1"/>
        <v>1.7859773684756204</v>
      </c>
      <c r="O15" s="10">
        <f t="shared" si="1"/>
        <v>1.6177833832890816</v>
      </c>
      <c r="P15" s="10">
        <f t="shared" si="1"/>
        <v>1.4495893981025427</v>
      </c>
      <c r="Q15" s="10">
        <f t="shared" si="1"/>
        <v>1.2813954129160039</v>
      </c>
      <c r="R15" s="10">
        <f t="shared" si="1"/>
        <v>1.1132014277294651</v>
      </c>
      <c r="S15" s="10">
        <f t="shared" si="1"/>
        <v>0.94500744254292612</v>
      </c>
      <c r="T15" s="10">
        <f t="shared" si="1"/>
        <v>0.77681345735638729</v>
      </c>
      <c r="U15" s="10">
        <f t="shared" si="1"/>
        <v>0.60861947216984835</v>
      </c>
      <c r="V15" s="10">
        <f t="shared" si="1"/>
        <v>0.44042548698330947</v>
      </c>
      <c r="W15" s="10">
        <f t="shared" si="1"/>
        <v>0.27223150179677058</v>
      </c>
      <c r="X15" s="10">
        <f t="shared" si="1"/>
        <v>0.10403751661023165</v>
      </c>
    </row>
    <row r="16" spans="1:24">
      <c r="A16" s="7">
        <v>4.0999999999999996</v>
      </c>
      <c r="B16" s="7" t="s">
        <v>272</v>
      </c>
      <c r="C16" s="7"/>
      <c r="D16" s="27">
        <v>0</v>
      </c>
      <c r="E16" s="10">
        <f>H3-E12</f>
        <v>1319.889294061788</v>
      </c>
      <c r="F16" s="10">
        <f t="shared" ref="F16:X16" si="2">E16-F12</f>
        <v>1252.6116999871724</v>
      </c>
      <c r="G16" s="10">
        <f t="shared" si="2"/>
        <v>1185.3341059125569</v>
      </c>
      <c r="H16" s="10">
        <f t="shared" si="2"/>
        <v>1118.0565118379413</v>
      </c>
      <c r="I16" s="10">
        <f t="shared" si="2"/>
        <v>1050.7789177633258</v>
      </c>
      <c r="J16" s="10">
        <f t="shared" si="2"/>
        <v>983.50132368871027</v>
      </c>
      <c r="K16" s="10">
        <f t="shared" si="2"/>
        <v>916.22372961409474</v>
      </c>
      <c r="L16" s="10">
        <f t="shared" si="2"/>
        <v>848.9461355394792</v>
      </c>
      <c r="M16" s="10">
        <f t="shared" si="2"/>
        <v>781.66854146486367</v>
      </c>
      <c r="N16" s="10">
        <f t="shared" si="2"/>
        <v>714.39094739024813</v>
      </c>
      <c r="O16" s="10">
        <f t="shared" si="2"/>
        <v>647.11335331563259</v>
      </c>
      <c r="P16" s="10">
        <f t="shared" si="2"/>
        <v>579.83575924101706</v>
      </c>
      <c r="Q16" s="10">
        <f t="shared" si="2"/>
        <v>512.55816516640152</v>
      </c>
      <c r="R16" s="10">
        <f t="shared" si="2"/>
        <v>445.28057109178599</v>
      </c>
      <c r="S16" s="10">
        <f t="shared" si="2"/>
        <v>378.00297701717045</v>
      </c>
      <c r="T16" s="10">
        <f t="shared" si="2"/>
        <v>310.72538294255492</v>
      </c>
      <c r="U16" s="10">
        <f t="shared" si="2"/>
        <v>243.44778886793935</v>
      </c>
      <c r="V16" s="10">
        <f t="shared" si="2"/>
        <v>176.17019479332379</v>
      </c>
      <c r="W16" s="10">
        <f t="shared" si="2"/>
        <v>108.89260071870822</v>
      </c>
      <c r="X16" s="10">
        <f t="shared" si="2"/>
        <v>41.615006644092659</v>
      </c>
    </row>
    <row r="17" spans="1:24">
      <c r="A17" s="7">
        <v>5</v>
      </c>
      <c r="B17" s="10" t="s">
        <v>176</v>
      </c>
      <c r="C17" s="10">
        <f>SUM(D17:X17)</f>
        <v>32.000000000000007</v>
      </c>
      <c r="D17" s="27">
        <v>0</v>
      </c>
      <c r="E17" s="10">
        <f>主要技术经济指标!D5*主要技术经济指标!D15/10</f>
        <v>1.6</v>
      </c>
      <c r="F17" s="10">
        <f t="shared" ref="F17:X17" si="3">E17</f>
        <v>1.6</v>
      </c>
      <c r="G17" s="10">
        <f t="shared" si="3"/>
        <v>1.6</v>
      </c>
      <c r="H17" s="10">
        <f t="shared" si="3"/>
        <v>1.6</v>
      </c>
      <c r="I17" s="10">
        <f t="shared" si="3"/>
        <v>1.6</v>
      </c>
      <c r="J17" s="10">
        <f t="shared" si="3"/>
        <v>1.6</v>
      </c>
      <c r="K17" s="10">
        <f t="shared" si="3"/>
        <v>1.6</v>
      </c>
      <c r="L17" s="10">
        <f t="shared" si="3"/>
        <v>1.6</v>
      </c>
      <c r="M17" s="10">
        <f t="shared" si="3"/>
        <v>1.6</v>
      </c>
      <c r="N17" s="10">
        <f t="shared" si="3"/>
        <v>1.6</v>
      </c>
      <c r="O17" s="10">
        <f t="shared" si="3"/>
        <v>1.6</v>
      </c>
      <c r="P17" s="10">
        <f t="shared" si="3"/>
        <v>1.6</v>
      </c>
      <c r="Q17" s="10">
        <f t="shared" si="3"/>
        <v>1.6</v>
      </c>
      <c r="R17" s="10">
        <f t="shared" si="3"/>
        <v>1.6</v>
      </c>
      <c r="S17" s="10">
        <f t="shared" si="3"/>
        <v>1.6</v>
      </c>
      <c r="T17" s="10">
        <f t="shared" si="3"/>
        <v>1.6</v>
      </c>
      <c r="U17" s="10">
        <f t="shared" si="3"/>
        <v>1.6</v>
      </c>
      <c r="V17" s="10">
        <f t="shared" si="3"/>
        <v>1.6</v>
      </c>
      <c r="W17" s="10">
        <f t="shared" si="3"/>
        <v>1.6</v>
      </c>
      <c r="X17" s="10">
        <f t="shared" si="3"/>
        <v>1.6</v>
      </c>
    </row>
    <row r="18" spans="1:24">
      <c r="A18" s="7">
        <v>6</v>
      </c>
      <c r="B18" s="10" t="s">
        <v>273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</row>
    <row r="19" spans="1:24">
      <c r="A19" s="7">
        <v>7</v>
      </c>
      <c r="B19" s="10" t="s">
        <v>274</v>
      </c>
      <c r="C19" s="27">
        <f>D19+E19+F19+G19+H19+I19+J19+K19+L19+M19+N19+O19+P19+Q19+R19+S19+T19+U19+V19+W19+X19</f>
        <v>0</v>
      </c>
      <c r="D19" s="27">
        <f>主要技术经济指标!D21*主要技术经济指标!D27/10000</f>
        <v>0</v>
      </c>
      <c r="E19" s="27">
        <f t="shared" ref="E19:X19" si="4">D19</f>
        <v>0</v>
      </c>
      <c r="F19" s="27">
        <f t="shared" si="4"/>
        <v>0</v>
      </c>
      <c r="G19" s="27">
        <f t="shared" si="4"/>
        <v>0</v>
      </c>
      <c r="H19" s="27">
        <f t="shared" si="4"/>
        <v>0</v>
      </c>
      <c r="I19" s="27">
        <f t="shared" si="4"/>
        <v>0</v>
      </c>
      <c r="J19" s="27">
        <f t="shared" si="4"/>
        <v>0</v>
      </c>
      <c r="K19" s="27">
        <f t="shared" si="4"/>
        <v>0</v>
      </c>
      <c r="L19" s="27">
        <f t="shared" si="4"/>
        <v>0</v>
      </c>
      <c r="M19" s="27">
        <f t="shared" si="4"/>
        <v>0</v>
      </c>
      <c r="N19" s="27">
        <f t="shared" si="4"/>
        <v>0</v>
      </c>
      <c r="O19" s="27">
        <f t="shared" si="4"/>
        <v>0</v>
      </c>
      <c r="P19" s="27">
        <f t="shared" si="4"/>
        <v>0</v>
      </c>
      <c r="Q19" s="27">
        <f t="shared" si="4"/>
        <v>0</v>
      </c>
      <c r="R19" s="27">
        <f t="shared" si="4"/>
        <v>0</v>
      </c>
      <c r="S19" s="27">
        <f t="shared" si="4"/>
        <v>0</v>
      </c>
      <c r="T19" s="27">
        <f t="shared" si="4"/>
        <v>0</v>
      </c>
      <c r="U19" s="27">
        <f t="shared" si="4"/>
        <v>0</v>
      </c>
      <c r="V19" s="27">
        <f t="shared" si="4"/>
        <v>0</v>
      </c>
      <c r="W19" s="27">
        <f t="shared" si="4"/>
        <v>0</v>
      </c>
      <c r="X19" s="27">
        <f t="shared" si="4"/>
        <v>0</v>
      </c>
    </row>
    <row r="20" spans="1:24">
      <c r="A20" s="7">
        <v>8</v>
      </c>
      <c r="B20" s="44" t="s">
        <v>277</v>
      </c>
      <c r="C20" s="44">
        <f>SUM(D20:X20)</f>
        <v>284.97000182400001</v>
      </c>
      <c r="D20" s="52">
        <f>借款还本付息计划表!D9+借款还本付息计划表!D13</f>
        <v>0</v>
      </c>
      <c r="E20" s="44">
        <f>借款还本付息计划表!E9+借款还本付息计划表!E13</f>
        <v>51.349333967999996</v>
      </c>
      <c r="F20" s="44">
        <f>借款还本付息计划表!F9+借款还本付息计划表!F13</f>
        <v>46.231977571200005</v>
      </c>
      <c r="G20" s="44">
        <f>借款还本付息计划表!G9+借款还本付息计划表!G13</f>
        <v>41.1146211744</v>
      </c>
      <c r="H20" s="44">
        <f>借款还本付息计划表!H9+借款还本付息计划表!H13</f>
        <v>35.997264777600002</v>
      </c>
      <c r="I20" s="44">
        <f>借款还本付息计划表!I9+借款还本付息计划表!I13</f>
        <v>30.8799083808</v>
      </c>
      <c r="J20" s="44">
        <f>借款还本付息计划表!J9+借款还本付息计划表!J13</f>
        <v>25.762551983999998</v>
      </c>
      <c r="K20" s="44">
        <f>借款还本付息计划表!K9+借款还本付息计划表!K13</f>
        <v>20.6451955872</v>
      </c>
      <c r="L20" s="44">
        <f>借款还本付息计划表!L9+借款还本付息计划表!L13</f>
        <v>15.5278391904</v>
      </c>
      <c r="M20" s="44">
        <f>借款还本付息计划表!M9+借款还本付息计划表!M13</f>
        <v>10.4104827936</v>
      </c>
      <c r="N20" s="44">
        <f>借款还本付息计划表!N9+借款还本付息计划表!N13</f>
        <v>5.2931263968000017</v>
      </c>
      <c r="O20" s="44">
        <f>借款还本付息计划表!O9+借款还本付息计划表!O13</f>
        <v>0.17576999999999995</v>
      </c>
      <c r="P20" s="44">
        <f>借款还本付息计划表!P9+借款还本付息计划表!P13</f>
        <v>0.17576999999999995</v>
      </c>
      <c r="Q20" s="44">
        <f>借款还本付息计划表!Q9+借款还本付息计划表!Q13</f>
        <v>0.17576999999999995</v>
      </c>
      <c r="R20" s="44">
        <f>借款还本付息计划表!R9+借款还本付息计划表!R13</f>
        <v>0.17576999999999995</v>
      </c>
      <c r="S20" s="44">
        <f>借款还本付息计划表!S9+借款还本付息计划表!S13</f>
        <v>0.17576999999999995</v>
      </c>
      <c r="T20" s="44">
        <f>借款还本付息计划表!T9+借款还本付息计划表!T13</f>
        <v>0.17576999999999995</v>
      </c>
      <c r="U20" s="44">
        <f>借款还本付息计划表!U9+借款还本付息计划表!U13</f>
        <v>0.17576999999999995</v>
      </c>
      <c r="V20" s="44">
        <f>借款还本付息计划表!V9+借款还本付息计划表!V13</f>
        <v>0.17576999999999995</v>
      </c>
      <c r="W20" s="44">
        <f>借款还本付息计划表!W9+借款还本付息计划表!W13</f>
        <v>0.17576999999999995</v>
      </c>
      <c r="X20" s="44">
        <f>借款还本付息计划表!X9+借款还本付息计划表!X13</f>
        <v>0.17576999999999995</v>
      </c>
    </row>
    <row r="21" spans="1:24">
      <c r="A21" s="7">
        <v>9</v>
      </c>
      <c r="B21" s="10" t="s">
        <v>279</v>
      </c>
      <c r="C21" s="10">
        <f>SUM(D21:X21)</f>
        <v>60</v>
      </c>
      <c r="D21" s="27">
        <v>0</v>
      </c>
      <c r="E21" s="10">
        <f>E22+E23</f>
        <v>3</v>
      </c>
      <c r="F21" s="10">
        <f t="shared" ref="F21:X21" si="5">F22+F23</f>
        <v>3</v>
      </c>
      <c r="G21" s="10">
        <f t="shared" si="5"/>
        <v>3</v>
      </c>
      <c r="H21" s="10">
        <f t="shared" si="5"/>
        <v>3</v>
      </c>
      <c r="I21" s="10">
        <f t="shared" si="5"/>
        <v>3</v>
      </c>
      <c r="J21" s="10">
        <f t="shared" si="5"/>
        <v>3</v>
      </c>
      <c r="K21" s="10">
        <f t="shared" si="5"/>
        <v>3</v>
      </c>
      <c r="L21" s="10">
        <f t="shared" si="5"/>
        <v>3</v>
      </c>
      <c r="M21" s="10">
        <f t="shared" si="5"/>
        <v>3</v>
      </c>
      <c r="N21" s="10">
        <f t="shared" si="5"/>
        <v>3</v>
      </c>
      <c r="O21" s="10">
        <f t="shared" si="5"/>
        <v>3</v>
      </c>
      <c r="P21" s="10">
        <f t="shared" si="5"/>
        <v>3</v>
      </c>
      <c r="Q21" s="10">
        <f t="shared" si="5"/>
        <v>3</v>
      </c>
      <c r="R21" s="10">
        <f t="shared" si="5"/>
        <v>3</v>
      </c>
      <c r="S21" s="10">
        <f t="shared" si="5"/>
        <v>3</v>
      </c>
      <c r="T21" s="10">
        <f t="shared" si="5"/>
        <v>3</v>
      </c>
      <c r="U21" s="10">
        <f t="shared" si="5"/>
        <v>3</v>
      </c>
      <c r="V21" s="10">
        <f t="shared" si="5"/>
        <v>3</v>
      </c>
      <c r="W21" s="10">
        <f t="shared" si="5"/>
        <v>3</v>
      </c>
      <c r="X21" s="10">
        <f t="shared" si="5"/>
        <v>3</v>
      </c>
    </row>
    <row r="22" spans="1:24">
      <c r="A22" s="7">
        <v>9.1</v>
      </c>
      <c r="B22" s="10" t="s">
        <v>280</v>
      </c>
      <c r="C22" s="10">
        <f>SUM(D22:X22)</f>
        <v>20</v>
      </c>
      <c r="D22" s="27">
        <v>0</v>
      </c>
      <c r="E22" s="10">
        <f>主要技术经济指标!D5*主要技术经济指标!D16/3/10</f>
        <v>1</v>
      </c>
      <c r="F22" s="10">
        <f t="shared" ref="F22:X22" si="6">E22</f>
        <v>1</v>
      </c>
      <c r="G22" s="10">
        <f t="shared" si="6"/>
        <v>1</v>
      </c>
      <c r="H22" s="10">
        <f t="shared" si="6"/>
        <v>1</v>
      </c>
      <c r="I22" s="10">
        <f t="shared" si="6"/>
        <v>1</v>
      </c>
      <c r="J22" s="10">
        <f t="shared" si="6"/>
        <v>1</v>
      </c>
      <c r="K22" s="10">
        <f t="shared" si="6"/>
        <v>1</v>
      </c>
      <c r="L22" s="10">
        <f t="shared" si="6"/>
        <v>1</v>
      </c>
      <c r="M22" s="10">
        <f t="shared" si="6"/>
        <v>1</v>
      </c>
      <c r="N22" s="10">
        <f t="shared" si="6"/>
        <v>1</v>
      </c>
      <c r="O22" s="10">
        <f t="shared" si="6"/>
        <v>1</v>
      </c>
      <c r="P22" s="10">
        <f t="shared" si="6"/>
        <v>1</v>
      </c>
      <c r="Q22" s="10">
        <f t="shared" si="6"/>
        <v>1</v>
      </c>
      <c r="R22" s="10">
        <f t="shared" si="6"/>
        <v>1</v>
      </c>
      <c r="S22" s="10">
        <f t="shared" si="6"/>
        <v>1</v>
      </c>
      <c r="T22" s="10">
        <f t="shared" si="6"/>
        <v>1</v>
      </c>
      <c r="U22" s="10">
        <f t="shared" si="6"/>
        <v>1</v>
      </c>
      <c r="V22" s="10">
        <f t="shared" si="6"/>
        <v>1</v>
      </c>
      <c r="W22" s="10">
        <f t="shared" si="6"/>
        <v>1</v>
      </c>
      <c r="X22" s="10">
        <f t="shared" si="6"/>
        <v>1</v>
      </c>
    </row>
    <row r="23" spans="1:24">
      <c r="A23" s="7">
        <v>9.1999999999999993</v>
      </c>
      <c r="B23" s="10" t="s">
        <v>281</v>
      </c>
      <c r="C23" s="10">
        <f>SUM(D23:X23)</f>
        <v>40</v>
      </c>
      <c r="D23" s="27">
        <v>0</v>
      </c>
      <c r="E23" s="10">
        <f>主要技术经济指标!D5*主要技术经济指标!D16/10/15*10</f>
        <v>2</v>
      </c>
      <c r="F23" s="10">
        <f t="shared" ref="F23:X23" si="7">E23</f>
        <v>2</v>
      </c>
      <c r="G23" s="10">
        <f t="shared" si="7"/>
        <v>2</v>
      </c>
      <c r="H23" s="10">
        <f t="shared" si="7"/>
        <v>2</v>
      </c>
      <c r="I23" s="10">
        <f t="shared" si="7"/>
        <v>2</v>
      </c>
      <c r="J23" s="10">
        <f t="shared" si="7"/>
        <v>2</v>
      </c>
      <c r="K23" s="10">
        <f t="shared" si="7"/>
        <v>2</v>
      </c>
      <c r="L23" s="10">
        <f t="shared" si="7"/>
        <v>2</v>
      </c>
      <c r="M23" s="10">
        <f t="shared" si="7"/>
        <v>2</v>
      </c>
      <c r="N23" s="10">
        <f t="shared" si="7"/>
        <v>2</v>
      </c>
      <c r="O23" s="10">
        <f t="shared" si="7"/>
        <v>2</v>
      </c>
      <c r="P23" s="10">
        <f t="shared" si="7"/>
        <v>2</v>
      </c>
      <c r="Q23" s="10">
        <f t="shared" si="7"/>
        <v>2</v>
      </c>
      <c r="R23" s="10">
        <f t="shared" si="7"/>
        <v>2</v>
      </c>
      <c r="S23" s="10">
        <f t="shared" si="7"/>
        <v>2</v>
      </c>
      <c r="T23" s="10">
        <f t="shared" si="7"/>
        <v>2</v>
      </c>
      <c r="U23" s="10">
        <f t="shared" si="7"/>
        <v>2</v>
      </c>
      <c r="V23" s="10">
        <f t="shared" si="7"/>
        <v>2</v>
      </c>
      <c r="W23" s="10">
        <f t="shared" si="7"/>
        <v>2</v>
      </c>
      <c r="X23" s="10">
        <f t="shared" si="7"/>
        <v>2</v>
      </c>
    </row>
    <row r="24" spans="1:24">
      <c r="A24" s="6"/>
      <c r="B24" s="7" t="s">
        <v>282</v>
      </c>
      <c r="C24" s="8">
        <f>C12+C13+C14+C15+C17+C19+C20+C21</f>
        <v>2774.4686763255522</v>
      </c>
      <c r="D24" s="28">
        <f t="shared" ref="D24:X24" si="8">D12+D13+D14+D15+D17+D19+D20+D21</f>
        <v>0</v>
      </c>
      <c r="E24" s="8">
        <f t="shared" si="8"/>
        <v>174.30098505404283</v>
      </c>
      <c r="F24" s="8">
        <f t="shared" si="8"/>
        <v>169.0154346720563</v>
      </c>
      <c r="G24" s="8">
        <f t="shared" si="8"/>
        <v>163.72988429006978</v>
      </c>
      <c r="H24" s="8">
        <f t="shared" si="8"/>
        <v>158.44433390808322</v>
      </c>
      <c r="I24" s="8">
        <f t="shared" si="8"/>
        <v>153.15878352609667</v>
      </c>
      <c r="J24" s="8">
        <f t="shared" si="8"/>
        <v>152.03473380851935</v>
      </c>
      <c r="K24" s="8">
        <f t="shared" si="8"/>
        <v>146.74918342653282</v>
      </c>
      <c r="L24" s="8">
        <f t="shared" si="8"/>
        <v>141.46363304454627</v>
      </c>
      <c r="M24" s="8">
        <f t="shared" si="8"/>
        <v>136.17808266255975</v>
      </c>
      <c r="N24" s="8">
        <f t="shared" si="8"/>
        <v>130.89253228057319</v>
      </c>
      <c r="O24" s="8">
        <f t="shared" si="8"/>
        <v>125.60698189858665</v>
      </c>
      <c r="P24" s="8">
        <f t="shared" si="8"/>
        <v>125.43878791340012</v>
      </c>
      <c r="Q24" s="8">
        <f t="shared" si="8"/>
        <v>125.27059392821357</v>
      </c>
      <c r="R24" s="8">
        <f t="shared" si="8"/>
        <v>125.10239994302704</v>
      </c>
      <c r="S24" s="8">
        <f t="shared" si="8"/>
        <v>124.9342059578405</v>
      </c>
      <c r="T24" s="8">
        <f t="shared" si="8"/>
        <v>124.76601197265396</v>
      </c>
      <c r="U24" s="8">
        <f t="shared" si="8"/>
        <v>124.59781798746742</v>
      </c>
      <c r="V24" s="8">
        <f t="shared" si="8"/>
        <v>124.42962400228089</v>
      </c>
      <c r="W24" s="8">
        <f t="shared" si="8"/>
        <v>124.26143001709434</v>
      </c>
      <c r="X24" s="8">
        <f t="shared" si="8"/>
        <v>124.09323603190781</v>
      </c>
    </row>
    <row r="25" spans="1:24">
      <c r="A25" s="6"/>
      <c r="B25" s="7" t="s">
        <v>283</v>
      </c>
      <c r="C25" s="56">
        <f>SUM(D25:X25)</f>
        <v>1143.9467930092414</v>
      </c>
      <c r="D25" s="17">
        <v>0</v>
      </c>
      <c r="E25" s="44">
        <f>E13+E14+E15+E17+E19+E21</f>
        <v>55.674057011427273</v>
      </c>
      <c r="F25" s="44">
        <f t="shared" ref="F25:X25" si="9">F13+F14+F15+F17+F19+F21</f>
        <v>55.505863026240739</v>
      </c>
      <c r="G25" s="44">
        <f t="shared" si="9"/>
        <v>55.337669041054198</v>
      </c>
      <c r="H25" s="44">
        <f t="shared" si="9"/>
        <v>55.169475055867657</v>
      </c>
      <c r="I25" s="44">
        <f t="shared" si="9"/>
        <v>55.001281070681124</v>
      </c>
      <c r="J25" s="44">
        <f t="shared" si="9"/>
        <v>58.994587749903793</v>
      </c>
      <c r="K25" s="44">
        <f t="shared" si="9"/>
        <v>58.826393764717253</v>
      </c>
      <c r="L25" s="44">
        <f t="shared" si="9"/>
        <v>58.658199779530712</v>
      </c>
      <c r="M25" s="44">
        <f t="shared" si="9"/>
        <v>58.490005794344178</v>
      </c>
      <c r="N25" s="44">
        <f t="shared" si="9"/>
        <v>58.321811809157637</v>
      </c>
      <c r="O25" s="44">
        <f t="shared" si="9"/>
        <v>58.153617823971096</v>
      </c>
      <c r="P25" s="44">
        <f t="shared" si="9"/>
        <v>57.985423838784563</v>
      </c>
      <c r="Q25" s="44">
        <f t="shared" si="9"/>
        <v>57.817229853598022</v>
      </c>
      <c r="R25" s="44">
        <f t="shared" si="9"/>
        <v>57.649035868411481</v>
      </c>
      <c r="S25" s="44">
        <f t="shared" si="9"/>
        <v>57.48084188322494</v>
      </c>
      <c r="T25" s="44">
        <f t="shared" si="9"/>
        <v>57.312647898038406</v>
      </c>
      <c r="U25" s="44">
        <f t="shared" si="9"/>
        <v>57.144453912851866</v>
      </c>
      <c r="V25" s="44">
        <f t="shared" si="9"/>
        <v>56.976259927665325</v>
      </c>
      <c r="W25" s="44">
        <f t="shared" si="9"/>
        <v>56.808065942478784</v>
      </c>
      <c r="X25" s="44">
        <f t="shared" si="9"/>
        <v>56.63987195729225</v>
      </c>
    </row>
    <row r="27" spans="1:24">
      <c r="C27" s="21"/>
    </row>
  </sheetData>
  <sheetProtection password="C6BB" sheet="1" objects="1" scenarios="1"/>
  <mergeCells count="7">
    <mergeCell ref="A1:H2"/>
    <mergeCell ref="D3:E3"/>
    <mergeCell ref="C10:C11"/>
    <mergeCell ref="B10:B11"/>
    <mergeCell ref="A10:A11"/>
    <mergeCell ref="E10:X10"/>
    <mergeCell ref="A8:X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0"/>
  <sheetViews>
    <sheetView topLeftCell="C4" zoomScale="90" zoomScaleNormal="90" workbookViewId="0">
      <selection activeCell="Q43" sqref="Q43"/>
    </sheetView>
  </sheetViews>
  <sheetFormatPr defaultRowHeight="13.5"/>
  <cols>
    <col min="2" max="2" width="30.5" customWidth="1"/>
    <col min="3" max="3" width="11.375" bestFit="1" customWidth="1"/>
    <col min="4" max="4" width="15" bestFit="1" customWidth="1"/>
    <col min="5" max="5" width="11.625" bestFit="1" customWidth="1"/>
    <col min="6" max="6" width="12.75" bestFit="1" customWidth="1"/>
    <col min="7" max="7" width="12.625" customWidth="1"/>
    <col min="8" max="8" width="11.625" bestFit="1" customWidth="1"/>
    <col min="9" max="24" width="9.375" bestFit="1" customWidth="1"/>
  </cols>
  <sheetData>
    <row r="1" spans="1:24">
      <c r="A1" s="7" t="s">
        <v>285</v>
      </c>
      <c r="B1" s="7">
        <f>主要技术经济指标!D5</f>
        <v>2</v>
      </c>
      <c r="C1" s="79" t="s">
        <v>284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24">
      <c r="A2" s="7" t="s">
        <v>286</v>
      </c>
      <c r="B2" s="7">
        <f>主要技术经济指标!D6</f>
        <v>1700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3"/>
    </row>
    <row r="3" spans="1:24">
      <c r="A3" s="15" t="s">
        <v>287</v>
      </c>
      <c r="B3" s="10">
        <f>B1*B2*主要技术经济指标!D13</f>
        <v>2858.9614000000001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</row>
    <row r="4" spans="1:24">
      <c r="A4" s="86" t="s">
        <v>0</v>
      </c>
      <c r="B4" s="86" t="s">
        <v>11</v>
      </c>
      <c r="C4" s="86" t="s">
        <v>30</v>
      </c>
      <c r="D4" s="30" t="s">
        <v>38</v>
      </c>
      <c r="E4" s="86" t="s">
        <v>39</v>
      </c>
      <c r="F4" s="86"/>
      <c r="G4" s="86"/>
      <c r="H4" s="86"/>
      <c r="I4" s="86"/>
      <c r="J4" s="86"/>
      <c r="K4" s="86"/>
      <c r="L4" s="86"/>
      <c r="M4" s="86"/>
      <c r="N4" s="86" t="s">
        <v>39</v>
      </c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4">
      <c r="A5" s="86"/>
      <c r="B5" s="86"/>
      <c r="C5" s="86"/>
      <c r="D5" s="30" t="s">
        <v>40</v>
      </c>
      <c r="E5" s="30" t="s">
        <v>41</v>
      </c>
      <c r="F5" s="30" t="s">
        <v>42</v>
      </c>
      <c r="G5" s="30" t="s">
        <v>43</v>
      </c>
      <c r="H5" s="30" t="s">
        <v>44</v>
      </c>
      <c r="I5" s="30" t="s">
        <v>45</v>
      </c>
      <c r="J5" s="30" t="s">
        <v>46</v>
      </c>
      <c r="K5" s="30" t="s">
        <v>47</v>
      </c>
      <c r="L5" s="30" t="s">
        <v>48</v>
      </c>
      <c r="M5" s="30" t="s">
        <v>49</v>
      </c>
      <c r="N5" s="30" t="s">
        <v>244</v>
      </c>
      <c r="O5" s="30" t="s">
        <v>245</v>
      </c>
      <c r="P5" s="30" t="s">
        <v>246</v>
      </c>
      <c r="Q5" s="30" t="s">
        <v>247</v>
      </c>
      <c r="R5" s="30" t="s">
        <v>248</v>
      </c>
      <c r="S5" s="30" t="s">
        <v>249</v>
      </c>
      <c r="T5" s="30" t="s">
        <v>250</v>
      </c>
      <c r="U5" s="30" t="s">
        <v>251</v>
      </c>
      <c r="V5" s="30" t="s">
        <v>252</v>
      </c>
      <c r="W5" s="30" t="s">
        <v>253</v>
      </c>
      <c r="X5" s="30" t="s">
        <v>254</v>
      </c>
    </row>
    <row r="6" spans="1:24">
      <c r="A6" s="30"/>
      <c r="B6" s="77" t="s">
        <v>172</v>
      </c>
      <c r="C6" s="78"/>
      <c r="E6" s="13">
        <v>0.98</v>
      </c>
      <c r="F6" s="14">
        <f t="shared" ref="F6:X6" si="0">E6-0.45%</f>
        <v>0.97550000000000003</v>
      </c>
      <c r="G6" s="14">
        <f t="shared" si="0"/>
        <v>0.97100000000000009</v>
      </c>
      <c r="H6" s="14">
        <f t="shared" si="0"/>
        <v>0.96650000000000014</v>
      </c>
      <c r="I6" s="14">
        <f t="shared" si="0"/>
        <v>0.96200000000000019</v>
      </c>
      <c r="J6" s="14">
        <f t="shared" si="0"/>
        <v>0.95750000000000024</v>
      </c>
      <c r="K6" s="14">
        <f t="shared" si="0"/>
        <v>0.95300000000000029</v>
      </c>
      <c r="L6" s="14">
        <f t="shared" si="0"/>
        <v>0.94850000000000034</v>
      </c>
      <c r="M6" s="14">
        <f t="shared" si="0"/>
        <v>0.94400000000000039</v>
      </c>
      <c r="N6" s="14">
        <f t="shared" si="0"/>
        <v>0.93950000000000045</v>
      </c>
      <c r="O6" s="14">
        <f t="shared" si="0"/>
        <v>0.9350000000000005</v>
      </c>
      <c r="P6" s="14">
        <f t="shared" si="0"/>
        <v>0.93050000000000055</v>
      </c>
      <c r="Q6" s="14">
        <f t="shared" si="0"/>
        <v>0.9260000000000006</v>
      </c>
      <c r="R6" s="14">
        <f t="shared" si="0"/>
        <v>0.92150000000000065</v>
      </c>
      <c r="S6" s="14">
        <f t="shared" si="0"/>
        <v>0.9170000000000007</v>
      </c>
      <c r="T6" s="14">
        <f t="shared" si="0"/>
        <v>0.91250000000000075</v>
      </c>
      <c r="U6" s="14">
        <f t="shared" si="0"/>
        <v>0.90800000000000081</v>
      </c>
      <c r="V6" s="14">
        <f t="shared" si="0"/>
        <v>0.90350000000000086</v>
      </c>
      <c r="W6" s="14">
        <f t="shared" si="0"/>
        <v>0.89900000000000091</v>
      </c>
      <c r="X6" s="14">
        <f t="shared" si="0"/>
        <v>0.89450000000000096</v>
      </c>
    </row>
    <row r="7" spans="1:24">
      <c r="A7" s="31"/>
      <c r="B7" s="31" t="s">
        <v>288</v>
      </c>
      <c r="C7" s="32">
        <f>SUM(E7:X7)</f>
        <v>53591.231443000026</v>
      </c>
      <c r="D7" s="33">
        <v>0</v>
      </c>
      <c r="E7" s="32">
        <f>B3*E6</f>
        <v>2801.7821720000002</v>
      </c>
      <c r="F7" s="32">
        <f>B3*F6</f>
        <v>2788.9168457000001</v>
      </c>
      <c r="G7" s="32">
        <f>B3*G6</f>
        <v>2776.0515194000004</v>
      </c>
      <c r="H7" s="32">
        <f>B3*H6</f>
        <v>2763.1861931000003</v>
      </c>
      <c r="I7" s="32">
        <f>B3*I6</f>
        <v>2750.3208668000007</v>
      </c>
      <c r="J7" s="32">
        <f>B3*J6</f>
        <v>2737.455540500001</v>
      </c>
      <c r="K7" s="32">
        <f>B3*K6</f>
        <v>2724.5902142000009</v>
      </c>
      <c r="L7" s="32">
        <f>B3*L6</f>
        <v>2711.7248879000012</v>
      </c>
      <c r="M7" s="32">
        <f>B3*M6</f>
        <v>2698.8595616000011</v>
      </c>
      <c r="N7" s="32">
        <f>B3*N6</f>
        <v>2685.9942353000015</v>
      </c>
      <c r="O7" s="32">
        <f>B3*O6</f>
        <v>2673.1289090000014</v>
      </c>
      <c r="P7" s="32">
        <f>B3*P6</f>
        <v>2660.2635827000017</v>
      </c>
      <c r="Q7" s="32">
        <f>B3*Q6</f>
        <v>2647.3982564000016</v>
      </c>
      <c r="R7" s="32">
        <f>B3*R6</f>
        <v>2634.532930100002</v>
      </c>
      <c r="S7" s="32">
        <f>B3*S6</f>
        <v>2621.6676038000023</v>
      </c>
      <c r="T7" s="32">
        <f>B3*T6</f>
        <v>2608.8022775000022</v>
      </c>
      <c r="U7" s="32">
        <f>B3*U6</f>
        <v>2595.9369512000026</v>
      </c>
      <c r="V7" s="32">
        <f>B3*V6</f>
        <v>2583.0716249000025</v>
      </c>
      <c r="W7" s="32">
        <f>B3*W6</f>
        <v>2570.2062986000028</v>
      </c>
      <c r="X7" s="32">
        <f>B3*X6</f>
        <v>2557.3409723000027</v>
      </c>
    </row>
    <row r="8" spans="1:24">
      <c r="A8" s="31"/>
      <c r="B8" s="31" t="s">
        <v>52</v>
      </c>
      <c r="C8" s="37">
        <f>主要技术经济指标!D17</f>
        <v>0.79646017699115057</v>
      </c>
      <c r="D8" s="37">
        <f>C8</f>
        <v>0.79646017699115057</v>
      </c>
      <c r="E8" s="37">
        <f t="shared" ref="E8:X8" si="1">D8</f>
        <v>0.79646017699115057</v>
      </c>
      <c r="F8" s="37">
        <f t="shared" si="1"/>
        <v>0.79646017699115057</v>
      </c>
      <c r="G8" s="37">
        <f t="shared" si="1"/>
        <v>0.79646017699115057</v>
      </c>
      <c r="H8" s="37">
        <f t="shared" si="1"/>
        <v>0.79646017699115057</v>
      </c>
      <c r="I8" s="37">
        <f t="shared" si="1"/>
        <v>0.79646017699115057</v>
      </c>
      <c r="J8" s="37">
        <f t="shared" si="1"/>
        <v>0.79646017699115057</v>
      </c>
      <c r="K8" s="37">
        <f t="shared" si="1"/>
        <v>0.79646017699115057</v>
      </c>
      <c r="L8" s="37">
        <f t="shared" si="1"/>
        <v>0.79646017699115057</v>
      </c>
      <c r="M8" s="37">
        <f t="shared" si="1"/>
        <v>0.79646017699115057</v>
      </c>
      <c r="N8" s="37">
        <f t="shared" si="1"/>
        <v>0.79646017699115057</v>
      </c>
      <c r="O8" s="37">
        <f t="shared" si="1"/>
        <v>0.79646017699115057</v>
      </c>
      <c r="P8" s="37">
        <f t="shared" si="1"/>
        <v>0.79646017699115057</v>
      </c>
      <c r="Q8" s="37">
        <f t="shared" si="1"/>
        <v>0.79646017699115057</v>
      </c>
      <c r="R8" s="37">
        <f t="shared" si="1"/>
        <v>0.79646017699115057</v>
      </c>
      <c r="S8" s="37">
        <f t="shared" si="1"/>
        <v>0.79646017699115057</v>
      </c>
      <c r="T8" s="37">
        <f t="shared" si="1"/>
        <v>0.79646017699115057</v>
      </c>
      <c r="U8" s="37">
        <f t="shared" si="1"/>
        <v>0.79646017699115057</v>
      </c>
      <c r="V8" s="37">
        <f t="shared" si="1"/>
        <v>0.79646017699115057</v>
      </c>
      <c r="W8" s="37">
        <f t="shared" si="1"/>
        <v>0.79646017699115057</v>
      </c>
      <c r="X8" s="37">
        <f t="shared" si="1"/>
        <v>0.79646017699115057</v>
      </c>
    </row>
    <row r="9" spans="1:24">
      <c r="A9" s="31"/>
      <c r="B9" s="31" t="s">
        <v>53</v>
      </c>
      <c r="C9" s="31">
        <f>主要技术经济指标!D18</f>
        <v>0.9</v>
      </c>
      <c r="D9" s="31">
        <f>C9</f>
        <v>0.9</v>
      </c>
      <c r="E9" s="31">
        <f t="shared" ref="E9:X9" si="2">D9</f>
        <v>0.9</v>
      </c>
      <c r="F9" s="31">
        <f t="shared" si="2"/>
        <v>0.9</v>
      </c>
      <c r="G9" s="31">
        <f t="shared" si="2"/>
        <v>0.9</v>
      </c>
      <c r="H9" s="31">
        <f t="shared" si="2"/>
        <v>0.9</v>
      </c>
      <c r="I9" s="31">
        <f t="shared" si="2"/>
        <v>0.9</v>
      </c>
      <c r="J9" s="31">
        <f t="shared" si="2"/>
        <v>0.9</v>
      </c>
      <c r="K9" s="31">
        <f t="shared" si="2"/>
        <v>0.9</v>
      </c>
      <c r="L9" s="31">
        <f t="shared" si="2"/>
        <v>0.9</v>
      </c>
      <c r="M9" s="31">
        <f t="shared" si="2"/>
        <v>0.9</v>
      </c>
      <c r="N9" s="31">
        <f t="shared" si="2"/>
        <v>0.9</v>
      </c>
      <c r="O9" s="31">
        <f t="shared" si="2"/>
        <v>0.9</v>
      </c>
      <c r="P9" s="31">
        <f t="shared" si="2"/>
        <v>0.9</v>
      </c>
      <c r="Q9" s="31">
        <f t="shared" si="2"/>
        <v>0.9</v>
      </c>
      <c r="R9" s="31">
        <f t="shared" si="2"/>
        <v>0.9</v>
      </c>
      <c r="S9" s="31">
        <f t="shared" si="2"/>
        <v>0.9</v>
      </c>
      <c r="T9" s="31">
        <f t="shared" si="2"/>
        <v>0.9</v>
      </c>
      <c r="U9" s="31">
        <f t="shared" si="2"/>
        <v>0.9</v>
      </c>
      <c r="V9" s="31">
        <f t="shared" si="2"/>
        <v>0.9</v>
      </c>
      <c r="W9" s="31">
        <f t="shared" si="2"/>
        <v>0.9</v>
      </c>
      <c r="X9" s="31">
        <f t="shared" si="2"/>
        <v>0.9</v>
      </c>
    </row>
    <row r="10" spans="1:24">
      <c r="A10" s="31">
        <v>1</v>
      </c>
      <c r="B10" s="31" t="s">
        <v>54</v>
      </c>
      <c r="C10" s="42">
        <f t="shared" ref="C10:C21" si="3">SUM(D10:X10)</f>
        <v>4268.3281680265509</v>
      </c>
      <c r="D10" s="43">
        <v>0</v>
      </c>
      <c r="E10" s="42">
        <f>E7*E8/10</f>
        <v>223.15079246017703</v>
      </c>
      <c r="F10" s="42">
        <f t="shared" ref="F10:X10" si="4">F7*F8/10</f>
        <v>222.12612045398231</v>
      </c>
      <c r="G10" s="42">
        <f t="shared" si="4"/>
        <v>221.1014484477877</v>
      </c>
      <c r="H10" s="42">
        <f t="shared" si="4"/>
        <v>220.07677644159298</v>
      </c>
      <c r="I10" s="42">
        <f t="shared" si="4"/>
        <v>219.05210443539832</v>
      </c>
      <c r="J10" s="42">
        <f t="shared" si="4"/>
        <v>218.02743242920366</v>
      </c>
      <c r="K10" s="42">
        <f t="shared" si="4"/>
        <v>217.00276042300897</v>
      </c>
      <c r="L10" s="42">
        <f t="shared" si="4"/>
        <v>215.9780884168143</v>
      </c>
      <c r="M10" s="42">
        <f t="shared" si="4"/>
        <v>214.95341641061958</v>
      </c>
      <c r="N10" s="42">
        <f t="shared" si="4"/>
        <v>213.92874440442492</v>
      </c>
      <c r="O10" s="42">
        <f t="shared" si="4"/>
        <v>212.90407239823026</v>
      </c>
      <c r="P10" s="42">
        <f t="shared" si="4"/>
        <v>211.87940039203559</v>
      </c>
      <c r="Q10" s="42">
        <f t="shared" si="4"/>
        <v>210.85472838584087</v>
      </c>
      <c r="R10" s="42">
        <f t="shared" si="4"/>
        <v>209.83005637964621</v>
      </c>
      <c r="S10" s="42">
        <f t="shared" si="4"/>
        <v>208.80538437345155</v>
      </c>
      <c r="T10" s="42">
        <f t="shared" si="4"/>
        <v>207.78071236725685</v>
      </c>
      <c r="U10" s="42">
        <f t="shared" si="4"/>
        <v>206.75604036106219</v>
      </c>
      <c r="V10" s="42">
        <f t="shared" si="4"/>
        <v>205.73136835486747</v>
      </c>
      <c r="W10" s="42">
        <f t="shared" si="4"/>
        <v>204.70669634867281</v>
      </c>
      <c r="X10" s="42">
        <f t="shared" si="4"/>
        <v>203.68202434247812</v>
      </c>
    </row>
    <row r="11" spans="1:24">
      <c r="A11" s="31">
        <v>2</v>
      </c>
      <c r="B11" s="31" t="s">
        <v>55</v>
      </c>
      <c r="C11" s="32">
        <f t="shared" si="3"/>
        <v>49.628153997582608</v>
      </c>
      <c r="D11" s="53">
        <f>D12+D13</f>
        <v>0</v>
      </c>
      <c r="E11" s="42">
        <f t="shared" ref="E11:X11" si="5">E12+E13</f>
        <v>0</v>
      </c>
      <c r="F11" s="42">
        <f t="shared" si="5"/>
        <v>0</v>
      </c>
      <c r="G11" s="42">
        <f t="shared" si="5"/>
        <v>0</v>
      </c>
      <c r="H11" s="42">
        <f t="shared" si="5"/>
        <v>0</v>
      </c>
      <c r="I11" s="42">
        <f t="shared" si="5"/>
        <v>0</v>
      </c>
      <c r="J11" s="42">
        <f t="shared" si="5"/>
        <v>3.6893755011914164</v>
      </c>
      <c r="K11" s="42">
        <f t="shared" si="5"/>
        <v>3.3852430625989403</v>
      </c>
      <c r="L11" s="42">
        <f t="shared" si="5"/>
        <v>3.3692581793023031</v>
      </c>
      <c r="M11" s="42">
        <f t="shared" si="5"/>
        <v>3.3532732960056659</v>
      </c>
      <c r="N11" s="42">
        <f t="shared" si="5"/>
        <v>3.3372884127090288</v>
      </c>
      <c r="O11" s="42">
        <f t="shared" si="5"/>
        <v>3.3213035294123925</v>
      </c>
      <c r="P11" s="42">
        <f t="shared" si="5"/>
        <v>3.3053186461157553</v>
      </c>
      <c r="Q11" s="42">
        <f t="shared" si="5"/>
        <v>3.2893337628191182</v>
      </c>
      <c r="R11" s="42">
        <f t="shared" si="5"/>
        <v>3.273348879522481</v>
      </c>
      <c r="S11" s="42">
        <f t="shared" si="5"/>
        <v>3.2573639962258447</v>
      </c>
      <c r="T11" s="42">
        <f t="shared" si="5"/>
        <v>3.2413791129292076</v>
      </c>
      <c r="U11" s="42">
        <f t="shared" si="5"/>
        <v>3.2253942296325704</v>
      </c>
      <c r="V11" s="42">
        <f t="shared" si="5"/>
        <v>3.2094093463359332</v>
      </c>
      <c r="W11" s="42">
        <f t="shared" si="5"/>
        <v>3.1934244630392961</v>
      </c>
      <c r="X11" s="42">
        <f t="shared" si="5"/>
        <v>3.1774395797426589</v>
      </c>
    </row>
    <row r="12" spans="1:24">
      <c r="A12" s="31">
        <v>2.1</v>
      </c>
      <c r="B12" s="31" t="s">
        <v>56</v>
      </c>
      <c r="C12" s="32">
        <f t="shared" si="3"/>
        <v>28.94975649858986</v>
      </c>
      <c r="D12" s="34">
        <f>项目投资现金流量表!D16</f>
        <v>0</v>
      </c>
      <c r="E12" s="32">
        <f>项目投资现金流量表!E16</f>
        <v>0</v>
      </c>
      <c r="F12" s="32">
        <f>项目投资现金流量表!F16</f>
        <v>0</v>
      </c>
      <c r="G12" s="32">
        <f>项目投资现金流量表!G16</f>
        <v>0</v>
      </c>
      <c r="H12" s="32">
        <f>项目投资现金流量表!H16</f>
        <v>0</v>
      </c>
      <c r="I12" s="32">
        <f>项目投资现金流量表!I16</f>
        <v>0</v>
      </c>
      <c r="J12" s="32">
        <f>项目投资现金流量表!J16</f>
        <v>2.1521357090283262</v>
      </c>
      <c r="K12" s="32">
        <f>项目投资现金流量表!K16</f>
        <v>1.9747251198493818</v>
      </c>
      <c r="L12" s="32">
        <f>项目投资现金流量表!L16</f>
        <v>1.9654006045930104</v>
      </c>
      <c r="M12" s="32">
        <f>项目投资现金流量表!M16</f>
        <v>1.9560760893366385</v>
      </c>
      <c r="N12" s="32">
        <f>项目投资现金流量表!N16</f>
        <v>1.946751574080267</v>
      </c>
      <c r="O12" s="32">
        <f>项目投资现金流量表!O16</f>
        <v>1.9374270588238958</v>
      </c>
      <c r="P12" s="32">
        <f>项目投资现金流量表!P16</f>
        <v>1.9281025435675241</v>
      </c>
      <c r="Q12" s="32">
        <f>项目投资现金流量表!Q16</f>
        <v>1.9187780283111524</v>
      </c>
      <c r="R12" s="32">
        <f>项目投资现金流量表!R16</f>
        <v>1.9094535130547807</v>
      </c>
      <c r="S12" s="32">
        <f>项目投资现金流量表!S16</f>
        <v>1.9001289977984095</v>
      </c>
      <c r="T12" s="32">
        <f>项目投资现金流量表!T16</f>
        <v>1.8908044825420376</v>
      </c>
      <c r="U12" s="32">
        <f>项目投资现金流量表!U16</f>
        <v>1.8814799672856661</v>
      </c>
      <c r="V12" s="32">
        <f>项目投资现金流量表!V16</f>
        <v>1.8721554520292942</v>
      </c>
      <c r="W12" s="32">
        <f>项目投资现金流量表!W16</f>
        <v>1.8628309367729228</v>
      </c>
      <c r="X12" s="32">
        <f>项目投资现金流量表!X16</f>
        <v>1.8535064215165511</v>
      </c>
    </row>
    <row r="13" spans="1:24">
      <c r="A13" s="31">
        <v>2.2000000000000002</v>
      </c>
      <c r="B13" s="31" t="s">
        <v>57</v>
      </c>
      <c r="C13" s="32">
        <f t="shared" si="3"/>
        <v>20.678397498992755</v>
      </c>
      <c r="D13" s="34">
        <f>项目投资现金流量表!D17</f>
        <v>0</v>
      </c>
      <c r="E13" s="32">
        <f>项目投资现金流量表!E17</f>
        <v>0</v>
      </c>
      <c r="F13" s="32">
        <f>项目投资现金流量表!F17</f>
        <v>0</v>
      </c>
      <c r="G13" s="32">
        <f>项目投资现金流量表!G17</f>
        <v>0</v>
      </c>
      <c r="H13" s="32">
        <f>项目投资现金流量表!H17</f>
        <v>0</v>
      </c>
      <c r="I13" s="32">
        <f>项目投资现金流量表!I17</f>
        <v>0</v>
      </c>
      <c r="J13" s="32">
        <f>项目投资现金流量表!J17</f>
        <v>1.53723979216309</v>
      </c>
      <c r="K13" s="32">
        <f>项目投资现金流量表!K17</f>
        <v>1.4105179427495584</v>
      </c>
      <c r="L13" s="32">
        <f>项目投资现金流量表!L17</f>
        <v>1.403857574709293</v>
      </c>
      <c r="M13" s="32">
        <f>项目投资现金流量表!M17</f>
        <v>1.3971972066690275</v>
      </c>
      <c r="N13" s="32">
        <f>项目投资现金流量表!N17</f>
        <v>1.390536838628762</v>
      </c>
      <c r="O13" s="32">
        <f>项目投资现金流量表!O17</f>
        <v>1.3838764705884969</v>
      </c>
      <c r="P13" s="32">
        <f>项目投资现金流量表!P17</f>
        <v>1.3772161025482315</v>
      </c>
      <c r="Q13" s="32">
        <f>项目投资现金流量表!Q17</f>
        <v>1.370555734507966</v>
      </c>
      <c r="R13" s="32">
        <f>项目投资现金流量表!R17</f>
        <v>1.3638953664677005</v>
      </c>
      <c r="S13" s="32">
        <f>项目投资现金流量表!S17</f>
        <v>1.3572349984274352</v>
      </c>
      <c r="T13" s="32">
        <f>项目投资现金流量表!T17</f>
        <v>1.3505746303871697</v>
      </c>
      <c r="U13" s="32">
        <f>项目投资现金流量表!U17</f>
        <v>1.3439142623469043</v>
      </c>
      <c r="V13" s="32">
        <f>项目投资现金流量表!V17</f>
        <v>1.3372538943066388</v>
      </c>
      <c r="W13" s="32">
        <f>项目投资现金流量表!W17</f>
        <v>1.3305935262663733</v>
      </c>
      <c r="X13" s="32">
        <f>项目投资现金流量表!X17</f>
        <v>1.323933158226108</v>
      </c>
    </row>
    <row r="14" spans="1:24">
      <c r="A14" s="31">
        <v>3</v>
      </c>
      <c r="B14" s="31" t="s">
        <v>14</v>
      </c>
      <c r="C14" s="32">
        <f t="shared" si="3"/>
        <v>2774.4686763255527</v>
      </c>
      <c r="D14" s="34">
        <v>0</v>
      </c>
      <c r="E14" s="32">
        <f>总成本费用估算表!E24</f>
        <v>174.30098505404283</v>
      </c>
      <c r="F14" s="32">
        <f>总成本费用估算表!F24</f>
        <v>169.0154346720563</v>
      </c>
      <c r="G14" s="32">
        <f>总成本费用估算表!G24</f>
        <v>163.72988429006978</v>
      </c>
      <c r="H14" s="32">
        <f>总成本费用估算表!H24</f>
        <v>158.44433390808322</v>
      </c>
      <c r="I14" s="32">
        <f>总成本费用估算表!I24</f>
        <v>153.15878352609667</v>
      </c>
      <c r="J14" s="32">
        <f>总成本费用估算表!J24</f>
        <v>152.03473380851935</v>
      </c>
      <c r="K14" s="32">
        <f>总成本费用估算表!K24</f>
        <v>146.74918342653282</v>
      </c>
      <c r="L14" s="32">
        <f>总成本费用估算表!L24</f>
        <v>141.46363304454627</v>
      </c>
      <c r="M14" s="32">
        <f>总成本费用估算表!M24</f>
        <v>136.17808266255975</v>
      </c>
      <c r="N14" s="32">
        <f>总成本费用估算表!N24</f>
        <v>130.89253228057319</v>
      </c>
      <c r="O14" s="32">
        <f>总成本费用估算表!O24</f>
        <v>125.60698189858665</v>
      </c>
      <c r="P14" s="32">
        <f>总成本费用估算表!P24</f>
        <v>125.43878791340012</v>
      </c>
      <c r="Q14" s="32">
        <f>总成本费用估算表!Q24</f>
        <v>125.27059392821357</v>
      </c>
      <c r="R14" s="32">
        <f>总成本费用估算表!R24</f>
        <v>125.10239994302704</v>
      </c>
      <c r="S14" s="32">
        <f>总成本费用估算表!S24</f>
        <v>124.9342059578405</v>
      </c>
      <c r="T14" s="32">
        <f>总成本费用估算表!T24</f>
        <v>124.76601197265396</v>
      </c>
      <c r="U14" s="32">
        <f>总成本费用估算表!U24</f>
        <v>124.59781798746742</v>
      </c>
      <c r="V14" s="32">
        <f>总成本费用估算表!V24</f>
        <v>124.42962400228089</v>
      </c>
      <c r="W14" s="32">
        <f>总成本费用估算表!W24</f>
        <v>124.26143001709434</v>
      </c>
      <c r="X14" s="32">
        <f>总成本费用估算表!X24</f>
        <v>124.09323603190781</v>
      </c>
    </row>
    <row r="15" spans="1:24">
      <c r="A15" s="31">
        <v>4</v>
      </c>
      <c r="B15" s="31" t="s">
        <v>58</v>
      </c>
      <c r="C15" s="31">
        <f t="shared" si="3"/>
        <v>0</v>
      </c>
      <c r="D15" s="34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</row>
    <row r="16" spans="1:24">
      <c r="A16" s="31">
        <v>5</v>
      </c>
      <c r="B16" s="31" t="s">
        <v>59</v>
      </c>
      <c r="C16" s="42">
        <f t="shared" si="3"/>
        <v>1444.2313377034168</v>
      </c>
      <c r="D16" s="53">
        <f>D10-D11-D14+D15</f>
        <v>0</v>
      </c>
      <c r="E16" s="42">
        <f t="shared" ref="E16:X16" si="6">E10-E11-E14+E15</f>
        <v>48.849807406134204</v>
      </c>
      <c r="F16" s="42">
        <f t="shared" si="6"/>
        <v>53.110685781926009</v>
      </c>
      <c r="G16" s="42">
        <f t="shared" si="6"/>
        <v>57.371564157717927</v>
      </c>
      <c r="H16" s="42">
        <f t="shared" si="6"/>
        <v>61.63244253350976</v>
      </c>
      <c r="I16" s="42">
        <f t="shared" si="6"/>
        <v>65.89332090930165</v>
      </c>
      <c r="J16" s="42">
        <f t="shared" si="6"/>
        <v>62.303323119492887</v>
      </c>
      <c r="K16" s="42">
        <f t="shared" si="6"/>
        <v>66.86833393387721</v>
      </c>
      <c r="L16" s="42">
        <f t="shared" si="6"/>
        <v>71.145197192965725</v>
      </c>
      <c r="M16" s="42">
        <f t="shared" si="6"/>
        <v>75.422060452054183</v>
      </c>
      <c r="N16" s="42">
        <f t="shared" si="6"/>
        <v>79.698923711142697</v>
      </c>
      <c r="O16" s="42">
        <f t="shared" si="6"/>
        <v>83.975786970231198</v>
      </c>
      <c r="P16" s="42">
        <f t="shared" si="6"/>
        <v>83.135293832519721</v>
      </c>
      <c r="Q16" s="42">
        <f t="shared" si="6"/>
        <v>82.294800694808174</v>
      </c>
      <c r="R16" s="42">
        <f t="shared" si="6"/>
        <v>81.454307557096698</v>
      </c>
      <c r="S16" s="42">
        <f t="shared" si="6"/>
        <v>80.613814419385193</v>
      </c>
      <c r="T16" s="42">
        <f t="shared" si="6"/>
        <v>79.773321281673702</v>
      </c>
      <c r="U16" s="42">
        <f t="shared" si="6"/>
        <v>78.932828143962197</v>
      </c>
      <c r="V16" s="42">
        <f t="shared" si="6"/>
        <v>78.092335006250636</v>
      </c>
      <c r="W16" s="42">
        <f t="shared" si="6"/>
        <v>77.251841868539174</v>
      </c>
      <c r="X16" s="42">
        <f t="shared" si="6"/>
        <v>76.41134873082764</v>
      </c>
    </row>
    <row r="17" spans="1:24">
      <c r="A17" s="31">
        <v>6</v>
      </c>
      <c r="B17" s="31" t="s">
        <v>60</v>
      </c>
      <c r="C17" s="31">
        <f t="shared" si="3"/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</row>
    <row r="18" spans="1:24">
      <c r="A18" s="31">
        <v>7</v>
      </c>
      <c r="B18" s="31" t="s">
        <v>61</v>
      </c>
      <c r="C18" s="32">
        <f t="shared" si="3"/>
        <v>1444.2313377034168</v>
      </c>
      <c r="D18" s="31">
        <v>0</v>
      </c>
      <c r="E18" s="32">
        <f>E16-E17</f>
        <v>48.849807406134204</v>
      </c>
      <c r="F18" s="32">
        <f t="shared" ref="F18:X18" si="7">F16-F17</f>
        <v>53.110685781926009</v>
      </c>
      <c r="G18" s="32">
        <f t="shared" si="7"/>
        <v>57.371564157717927</v>
      </c>
      <c r="H18" s="32">
        <f t="shared" si="7"/>
        <v>61.63244253350976</v>
      </c>
      <c r="I18" s="32">
        <f t="shared" si="7"/>
        <v>65.89332090930165</v>
      </c>
      <c r="J18" s="32">
        <f t="shared" si="7"/>
        <v>62.303323119492887</v>
      </c>
      <c r="K18" s="32">
        <f t="shared" si="7"/>
        <v>66.86833393387721</v>
      </c>
      <c r="L18" s="32">
        <f t="shared" si="7"/>
        <v>71.145197192965725</v>
      </c>
      <c r="M18" s="32">
        <f t="shared" si="7"/>
        <v>75.422060452054183</v>
      </c>
      <c r="N18" s="32">
        <f t="shared" si="7"/>
        <v>79.698923711142697</v>
      </c>
      <c r="O18" s="32">
        <f t="shared" si="7"/>
        <v>83.975786970231198</v>
      </c>
      <c r="P18" s="32">
        <f t="shared" si="7"/>
        <v>83.135293832519721</v>
      </c>
      <c r="Q18" s="32">
        <f t="shared" si="7"/>
        <v>82.294800694808174</v>
      </c>
      <c r="R18" s="32">
        <f t="shared" si="7"/>
        <v>81.454307557096698</v>
      </c>
      <c r="S18" s="32">
        <f t="shared" si="7"/>
        <v>80.613814419385193</v>
      </c>
      <c r="T18" s="32">
        <f t="shared" si="7"/>
        <v>79.773321281673702</v>
      </c>
      <c r="U18" s="32">
        <f t="shared" si="7"/>
        <v>78.932828143962197</v>
      </c>
      <c r="V18" s="32">
        <f t="shared" si="7"/>
        <v>78.092335006250636</v>
      </c>
      <c r="W18" s="32">
        <f t="shared" si="7"/>
        <v>77.251841868539174</v>
      </c>
      <c r="X18" s="32">
        <f t="shared" si="7"/>
        <v>76.41134873082764</v>
      </c>
    </row>
    <row r="19" spans="1:24">
      <c r="A19" s="31">
        <v>8</v>
      </c>
      <c r="B19" s="31" t="s">
        <v>62</v>
      </c>
      <c r="C19" s="42">
        <f t="shared" si="3"/>
        <v>297.49618426912161</v>
      </c>
      <c r="D19" s="43">
        <v>0</v>
      </c>
      <c r="E19" s="45">
        <v>0</v>
      </c>
      <c r="F19" s="45">
        <v>0</v>
      </c>
      <c r="G19" s="45">
        <v>0</v>
      </c>
      <c r="H19" s="42">
        <f>H18*0.25/2</f>
        <v>7.70405531668872</v>
      </c>
      <c r="I19" s="42">
        <f>I18*0.25/2</f>
        <v>8.2366651136627063</v>
      </c>
      <c r="J19" s="42">
        <f>J18*0.25/2</f>
        <v>7.7879153899366109</v>
      </c>
      <c r="K19" s="42">
        <f>K18*0.25</f>
        <v>16.717083483469303</v>
      </c>
      <c r="L19" s="42">
        <f t="shared" ref="L19:X19" si="8">L18*0.25</f>
        <v>17.786299298241431</v>
      </c>
      <c r="M19" s="42">
        <f t="shared" si="8"/>
        <v>18.855515113013546</v>
      </c>
      <c r="N19" s="42">
        <f t="shared" si="8"/>
        <v>19.924730927785674</v>
      </c>
      <c r="O19" s="42">
        <f t="shared" si="8"/>
        <v>20.993946742557799</v>
      </c>
      <c r="P19" s="42">
        <f t="shared" si="8"/>
        <v>20.78382345812993</v>
      </c>
      <c r="Q19" s="42">
        <f t="shared" si="8"/>
        <v>20.573700173702044</v>
      </c>
      <c r="R19" s="42">
        <f t="shared" si="8"/>
        <v>20.363576889274174</v>
      </c>
      <c r="S19" s="42">
        <f t="shared" si="8"/>
        <v>20.153453604846298</v>
      </c>
      <c r="T19" s="42">
        <f t="shared" si="8"/>
        <v>19.943330320418426</v>
      </c>
      <c r="U19" s="42">
        <f t="shared" si="8"/>
        <v>19.733207035990549</v>
      </c>
      <c r="V19" s="42">
        <f t="shared" si="8"/>
        <v>19.523083751562659</v>
      </c>
      <c r="W19" s="42">
        <f t="shared" si="8"/>
        <v>19.312960467134793</v>
      </c>
      <c r="X19" s="42">
        <f t="shared" si="8"/>
        <v>19.10283718270691</v>
      </c>
    </row>
    <row r="20" spans="1:24">
      <c r="A20" s="31">
        <v>9</v>
      </c>
      <c r="B20" s="31" t="s">
        <v>63</v>
      </c>
      <c r="C20" s="31">
        <f t="shared" si="3"/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</row>
    <row r="21" spans="1:24">
      <c r="A21" s="31">
        <v>10</v>
      </c>
      <c r="B21" s="31" t="s">
        <v>64</v>
      </c>
      <c r="C21" s="32">
        <f t="shared" si="3"/>
        <v>1146.7351534342952</v>
      </c>
      <c r="D21" s="31">
        <v>0</v>
      </c>
      <c r="E21" s="32">
        <f>E16-E19+E20</f>
        <v>48.849807406134204</v>
      </c>
      <c r="F21" s="32">
        <f t="shared" ref="F21:X21" si="9">F16-F19+F20</f>
        <v>53.110685781926009</v>
      </c>
      <c r="G21" s="32">
        <f t="shared" si="9"/>
        <v>57.371564157717927</v>
      </c>
      <c r="H21" s="32">
        <f t="shared" si="9"/>
        <v>53.928387216821037</v>
      </c>
      <c r="I21" s="32">
        <f t="shared" si="9"/>
        <v>57.65665579563894</v>
      </c>
      <c r="J21" s="32">
        <f t="shared" si="9"/>
        <v>54.515407729556273</v>
      </c>
      <c r="K21" s="32">
        <f t="shared" si="9"/>
        <v>50.151250450407908</v>
      </c>
      <c r="L21" s="32">
        <f t="shared" si="9"/>
        <v>53.358897894724294</v>
      </c>
      <c r="M21" s="32">
        <f t="shared" si="9"/>
        <v>56.566545339040637</v>
      </c>
      <c r="N21" s="32">
        <f t="shared" si="9"/>
        <v>59.774192783357023</v>
      </c>
      <c r="O21" s="32">
        <f t="shared" si="9"/>
        <v>62.981840227673402</v>
      </c>
      <c r="P21" s="32">
        <f t="shared" si="9"/>
        <v>62.351470374389791</v>
      </c>
      <c r="Q21" s="32">
        <f t="shared" si="9"/>
        <v>61.721100521106131</v>
      </c>
      <c r="R21" s="32">
        <f t="shared" si="9"/>
        <v>61.090730667822527</v>
      </c>
      <c r="S21" s="32">
        <f t="shared" si="9"/>
        <v>60.460360814538895</v>
      </c>
      <c r="T21" s="32">
        <f t="shared" si="9"/>
        <v>59.829990961255277</v>
      </c>
      <c r="U21" s="32">
        <f t="shared" si="9"/>
        <v>59.199621107971652</v>
      </c>
      <c r="V21" s="32">
        <f t="shared" si="9"/>
        <v>58.569251254687977</v>
      </c>
      <c r="W21" s="32">
        <f t="shared" si="9"/>
        <v>57.93888140140438</v>
      </c>
      <c r="X21" s="32">
        <f t="shared" si="9"/>
        <v>57.308511548120734</v>
      </c>
    </row>
    <row r="22" spans="1:24">
      <c r="A22" s="31">
        <v>11</v>
      </c>
      <c r="B22" s="31" t="s">
        <v>65</v>
      </c>
      <c r="C22" s="31"/>
      <c r="D22" s="31">
        <v>0</v>
      </c>
      <c r="E22" s="32">
        <f>D21-D24</f>
        <v>0</v>
      </c>
      <c r="F22" s="32">
        <f>E21-E24</f>
        <v>43.964826665520782</v>
      </c>
      <c r="G22" s="32">
        <f t="shared" ref="G22:X22" si="10">F21+F22-F24</f>
        <v>91.76444386925418</v>
      </c>
      <c r="H22" s="32">
        <f t="shared" si="10"/>
        <v>143.39885161120031</v>
      </c>
      <c r="I22" s="32">
        <f t="shared" si="10"/>
        <v>191.93440010633924</v>
      </c>
      <c r="J22" s="32">
        <f t="shared" si="10"/>
        <v>243.82539032241428</v>
      </c>
      <c r="K22" s="32">
        <f t="shared" si="10"/>
        <v>292.88925727901488</v>
      </c>
      <c r="L22" s="32">
        <f t="shared" si="10"/>
        <v>338.02538268438201</v>
      </c>
      <c r="M22" s="32">
        <f t="shared" si="10"/>
        <v>386.04839078963386</v>
      </c>
      <c r="N22" s="32">
        <f t="shared" si="10"/>
        <v>436.95828159477043</v>
      </c>
      <c r="O22" s="32">
        <f t="shared" si="10"/>
        <v>490.75505509979178</v>
      </c>
      <c r="P22" s="32">
        <f t="shared" si="10"/>
        <v>547.43871130469779</v>
      </c>
      <c r="Q22" s="32">
        <f t="shared" si="10"/>
        <v>603.5550346416486</v>
      </c>
      <c r="R22" s="32">
        <f t="shared" si="10"/>
        <v>659.1040251106441</v>
      </c>
      <c r="S22" s="32">
        <f t="shared" si="10"/>
        <v>714.0856827116844</v>
      </c>
      <c r="T22" s="32">
        <f t="shared" si="10"/>
        <v>768.50000744476949</v>
      </c>
      <c r="U22" s="32">
        <f t="shared" si="10"/>
        <v>822.34699930989916</v>
      </c>
      <c r="V22" s="32">
        <f t="shared" si="10"/>
        <v>875.62665830707363</v>
      </c>
      <c r="W22" s="32">
        <f t="shared" si="10"/>
        <v>928.33898443629278</v>
      </c>
      <c r="X22" s="32">
        <f t="shared" si="10"/>
        <v>980.48397769755672</v>
      </c>
    </row>
    <row r="23" spans="1:24">
      <c r="A23" s="31">
        <v>12</v>
      </c>
      <c r="B23" s="31" t="s">
        <v>66</v>
      </c>
      <c r="C23" s="31"/>
      <c r="D23" s="32">
        <f>D21+D22</f>
        <v>0</v>
      </c>
      <c r="E23" s="32">
        <f t="shared" ref="E23:X23" si="11">E21+E22</f>
        <v>48.849807406134204</v>
      </c>
      <c r="F23" s="32">
        <f t="shared" si="11"/>
        <v>97.075512447446783</v>
      </c>
      <c r="G23" s="32">
        <f t="shared" si="11"/>
        <v>149.13600802697209</v>
      </c>
      <c r="H23" s="32">
        <f t="shared" si="11"/>
        <v>197.32723882802134</v>
      </c>
      <c r="I23" s="32">
        <f t="shared" si="11"/>
        <v>249.59105590197817</v>
      </c>
      <c r="J23" s="32">
        <f t="shared" si="11"/>
        <v>298.34079805197052</v>
      </c>
      <c r="K23" s="32">
        <f t="shared" si="11"/>
        <v>343.04050772942281</v>
      </c>
      <c r="L23" s="32">
        <f t="shared" si="11"/>
        <v>391.3842805791063</v>
      </c>
      <c r="M23" s="32">
        <f t="shared" si="11"/>
        <v>442.61493612867451</v>
      </c>
      <c r="N23" s="32">
        <f t="shared" si="11"/>
        <v>496.73247437812745</v>
      </c>
      <c r="O23" s="32">
        <f t="shared" si="11"/>
        <v>553.73689532746516</v>
      </c>
      <c r="P23" s="32">
        <f t="shared" si="11"/>
        <v>609.7901816790876</v>
      </c>
      <c r="Q23" s="32">
        <f t="shared" si="11"/>
        <v>665.27613516275471</v>
      </c>
      <c r="R23" s="32">
        <f t="shared" si="11"/>
        <v>720.19475577846663</v>
      </c>
      <c r="S23" s="32">
        <f t="shared" si="11"/>
        <v>774.54604352622334</v>
      </c>
      <c r="T23" s="32">
        <f t="shared" si="11"/>
        <v>828.32999840602474</v>
      </c>
      <c r="U23" s="32">
        <f t="shared" si="11"/>
        <v>881.54662041787083</v>
      </c>
      <c r="V23" s="32">
        <f t="shared" si="11"/>
        <v>934.1959095617616</v>
      </c>
      <c r="W23" s="32">
        <f t="shared" si="11"/>
        <v>986.27786583769716</v>
      </c>
      <c r="X23" s="32">
        <f t="shared" si="11"/>
        <v>1037.7924892456774</v>
      </c>
    </row>
    <row r="24" spans="1:24">
      <c r="A24" s="31">
        <v>13</v>
      </c>
      <c r="B24" s="31" t="s">
        <v>67</v>
      </c>
      <c r="C24" s="32">
        <f>SUM(D24:X24)</f>
        <v>114.67351534342951</v>
      </c>
      <c r="D24" s="31">
        <v>0</v>
      </c>
      <c r="E24" s="32">
        <f>E21*0.1</f>
        <v>4.8849807406134209</v>
      </c>
      <c r="F24" s="32">
        <f t="shared" ref="F24:X24" si="12">F21*0.1</f>
        <v>5.311068578192601</v>
      </c>
      <c r="G24" s="32">
        <f t="shared" si="12"/>
        <v>5.7371564157717927</v>
      </c>
      <c r="H24" s="32">
        <f t="shared" si="12"/>
        <v>5.3928387216821037</v>
      </c>
      <c r="I24" s="32">
        <f t="shared" si="12"/>
        <v>5.765665579563894</v>
      </c>
      <c r="J24" s="32">
        <f t="shared" si="12"/>
        <v>5.451540772955628</v>
      </c>
      <c r="K24" s="32">
        <f t="shared" si="12"/>
        <v>5.0151250450407909</v>
      </c>
      <c r="L24" s="32">
        <f t="shared" si="12"/>
        <v>5.3358897894724295</v>
      </c>
      <c r="M24" s="32">
        <f t="shared" si="12"/>
        <v>5.6566545339040637</v>
      </c>
      <c r="N24" s="32">
        <f t="shared" si="12"/>
        <v>5.9774192783357023</v>
      </c>
      <c r="O24" s="32">
        <f t="shared" si="12"/>
        <v>6.2981840227673409</v>
      </c>
      <c r="P24" s="32">
        <f t="shared" si="12"/>
        <v>6.2351470374389795</v>
      </c>
      <c r="Q24" s="32">
        <f t="shared" si="12"/>
        <v>6.1721100521106136</v>
      </c>
      <c r="R24" s="32">
        <f t="shared" si="12"/>
        <v>6.109073066782253</v>
      </c>
      <c r="S24" s="32">
        <f t="shared" si="12"/>
        <v>6.0460360814538898</v>
      </c>
      <c r="T24" s="32">
        <f t="shared" si="12"/>
        <v>5.9829990961255284</v>
      </c>
      <c r="U24" s="32">
        <f t="shared" si="12"/>
        <v>5.9199621107971652</v>
      </c>
      <c r="V24" s="32">
        <f t="shared" si="12"/>
        <v>5.8569251254687984</v>
      </c>
      <c r="W24" s="32">
        <f t="shared" si="12"/>
        <v>5.7938881401404387</v>
      </c>
      <c r="X24" s="32">
        <f t="shared" si="12"/>
        <v>5.7308511548120737</v>
      </c>
    </row>
    <row r="25" spans="1:24">
      <c r="A25" s="31">
        <v>14</v>
      </c>
      <c r="B25" s="31" t="s">
        <v>68</v>
      </c>
      <c r="C25" s="31"/>
      <c r="D25" s="32">
        <f>D23-D24</f>
        <v>0</v>
      </c>
      <c r="E25" s="32">
        <f t="shared" ref="E25:X25" si="13">E23-E24</f>
        <v>43.964826665520782</v>
      </c>
      <c r="F25" s="32">
        <f t="shared" si="13"/>
        <v>91.76444386925418</v>
      </c>
      <c r="G25" s="32">
        <f t="shared" si="13"/>
        <v>143.39885161120031</v>
      </c>
      <c r="H25" s="32">
        <f t="shared" si="13"/>
        <v>191.93440010633924</v>
      </c>
      <c r="I25" s="32">
        <f t="shared" si="13"/>
        <v>243.82539032241428</v>
      </c>
      <c r="J25" s="32">
        <f t="shared" si="13"/>
        <v>292.88925727901488</v>
      </c>
      <c r="K25" s="32">
        <f t="shared" si="13"/>
        <v>338.02538268438201</v>
      </c>
      <c r="L25" s="32">
        <f t="shared" si="13"/>
        <v>386.04839078963386</v>
      </c>
      <c r="M25" s="32">
        <f t="shared" si="13"/>
        <v>436.95828159477043</v>
      </c>
      <c r="N25" s="32">
        <f t="shared" si="13"/>
        <v>490.75505509979178</v>
      </c>
      <c r="O25" s="32">
        <f t="shared" si="13"/>
        <v>547.43871130469779</v>
      </c>
      <c r="P25" s="32">
        <f t="shared" si="13"/>
        <v>603.5550346416486</v>
      </c>
      <c r="Q25" s="32">
        <f t="shared" si="13"/>
        <v>659.1040251106441</v>
      </c>
      <c r="R25" s="32">
        <f t="shared" si="13"/>
        <v>714.0856827116844</v>
      </c>
      <c r="S25" s="32">
        <f t="shared" si="13"/>
        <v>768.50000744476949</v>
      </c>
      <c r="T25" s="32">
        <f t="shared" si="13"/>
        <v>822.34699930989916</v>
      </c>
      <c r="U25" s="32">
        <f t="shared" si="13"/>
        <v>875.62665830707363</v>
      </c>
      <c r="V25" s="32">
        <f t="shared" si="13"/>
        <v>928.33898443629278</v>
      </c>
      <c r="W25" s="32">
        <f t="shared" si="13"/>
        <v>980.48397769755672</v>
      </c>
      <c r="X25" s="32">
        <f t="shared" si="13"/>
        <v>1032.0616380908652</v>
      </c>
    </row>
    <row r="26" spans="1:24">
      <c r="A26" s="31">
        <v>15</v>
      </c>
      <c r="B26" s="31" t="s">
        <v>69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</row>
    <row r="27" spans="1:24">
      <c r="A27" s="31">
        <v>16</v>
      </c>
      <c r="B27" s="31" t="s">
        <v>70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</row>
    <row r="28" spans="1:24">
      <c r="A28" s="31">
        <v>17</v>
      </c>
      <c r="B28" s="31" t="s">
        <v>71</v>
      </c>
      <c r="C28" s="31">
        <f>C25-C26-C27</f>
        <v>0</v>
      </c>
      <c r="D28" s="31">
        <f t="shared" ref="D28:X28" si="14">D25-D26-D27</f>
        <v>0</v>
      </c>
      <c r="E28" s="32">
        <f t="shared" si="14"/>
        <v>43.964826665520782</v>
      </c>
      <c r="F28" s="32">
        <f t="shared" si="14"/>
        <v>91.76444386925418</v>
      </c>
      <c r="G28" s="32">
        <f t="shared" si="14"/>
        <v>143.39885161120031</v>
      </c>
      <c r="H28" s="32">
        <f t="shared" si="14"/>
        <v>191.93440010633924</v>
      </c>
      <c r="I28" s="32">
        <f t="shared" si="14"/>
        <v>243.82539032241428</v>
      </c>
      <c r="J28" s="32">
        <f t="shared" si="14"/>
        <v>292.88925727901488</v>
      </c>
      <c r="K28" s="32">
        <f t="shared" si="14"/>
        <v>338.02538268438201</v>
      </c>
      <c r="L28" s="32">
        <f t="shared" si="14"/>
        <v>386.04839078963386</v>
      </c>
      <c r="M28" s="32">
        <f t="shared" si="14"/>
        <v>436.95828159477043</v>
      </c>
      <c r="N28" s="32">
        <f t="shared" si="14"/>
        <v>490.75505509979178</v>
      </c>
      <c r="O28" s="32">
        <f t="shared" si="14"/>
        <v>547.43871130469779</v>
      </c>
      <c r="P28" s="32">
        <f t="shared" si="14"/>
        <v>603.5550346416486</v>
      </c>
      <c r="Q28" s="32">
        <f t="shared" si="14"/>
        <v>659.1040251106441</v>
      </c>
      <c r="R28" s="32">
        <f t="shared" si="14"/>
        <v>714.0856827116844</v>
      </c>
      <c r="S28" s="32">
        <f t="shared" si="14"/>
        <v>768.50000744476949</v>
      </c>
      <c r="T28" s="32">
        <f t="shared" si="14"/>
        <v>822.34699930989916</v>
      </c>
      <c r="U28" s="32">
        <f t="shared" si="14"/>
        <v>875.62665830707363</v>
      </c>
      <c r="V28" s="32">
        <f t="shared" si="14"/>
        <v>928.33898443629278</v>
      </c>
      <c r="W28" s="32">
        <f t="shared" si="14"/>
        <v>980.48397769755672</v>
      </c>
      <c r="X28" s="32">
        <f t="shared" si="14"/>
        <v>1032.0616380908652</v>
      </c>
    </row>
    <row r="29" spans="1:24">
      <c r="A29" s="31">
        <v>18</v>
      </c>
      <c r="B29" s="31" t="s">
        <v>72</v>
      </c>
      <c r="C29" s="34">
        <f>SUM(D29:X29)</f>
        <v>1729.2013395274162</v>
      </c>
      <c r="D29" s="34">
        <f>D16+总成本费用估算表!D20</f>
        <v>0</v>
      </c>
      <c r="E29" s="51">
        <f>E16+总成本费用估算表!E20</f>
        <v>100.1991413741342</v>
      </c>
      <c r="F29" s="51">
        <f>F16+总成本费用估算表!F20</f>
        <v>99.342663353126014</v>
      </c>
      <c r="G29" s="51">
        <f>G16+总成本费用估算表!G20</f>
        <v>98.486185332117927</v>
      </c>
      <c r="H29" s="51">
        <f>H16+总成本费用估算表!H20</f>
        <v>97.629707311109769</v>
      </c>
      <c r="I29" s="51">
        <f>I16+总成本费用估算表!I20</f>
        <v>96.773229290101654</v>
      </c>
      <c r="J29" s="51">
        <f>J16+总成本费用估算表!J20</f>
        <v>88.065875103492886</v>
      </c>
      <c r="K29" s="51">
        <f>K16+总成本费用估算表!K20</f>
        <v>87.513529521077203</v>
      </c>
      <c r="L29" s="51">
        <f>L16+总成本费用估算表!L20</f>
        <v>86.673036383365726</v>
      </c>
      <c r="M29" s="51">
        <f>M16+总成本费用估算表!M20</f>
        <v>85.832543245654179</v>
      </c>
      <c r="N29" s="51">
        <f>N16+总成本费用估算表!N20</f>
        <v>84.992050107942703</v>
      </c>
      <c r="O29" s="51">
        <f>O16+总成本费用估算表!O20</f>
        <v>84.151556970231198</v>
      </c>
      <c r="P29" s="51">
        <f>P16+总成本费用估算表!P20</f>
        <v>83.311063832519721</v>
      </c>
      <c r="Q29" s="51">
        <f>Q16+总成本费用估算表!Q20</f>
        <v>82.470570694808174</v>
      </c>
      <c r="R29" s="51">
        <f>R16+总成本费用估算表!R20</f>
        <v>81.630077557096698</v>
      </c>
      <c r="S29" s="51">
        <f>S16+总成本费用估算表!S20</f>
        <v>80.789584419385193</v>
      </c>
      <c r="T29" s="51">
        <f>T16+总成本费用估算表!T20</f>
        <v>79.949091281673702</v>
      </c>
      <c r="U29" s="51">
        <f>U16+总成本费用估算表!U20</f>
        <v>79.108598143962197</v>
      </c>
      <c r="V29" s="51">
        <f>V16+总成本费用估算表!V20</f>
        <v>78.268105006250636</v>
      </c>
      <c r="W29" s="51">
        <f>W16+总成本费用估算表!W20</f>
        <v>77.427611868539174</v>
      </c>
      <c r="X29" s="51">
        <f>X16+总成本费用估算表!X20</f>
        <v>76.58711873082764</v>
      </c>
    </row>
    <row r="30" spans="1:24">
      <c r="A30" s="31">
        <v>19</v>
      </c>
      <c r="B30" s="31" t="s">
        <v>73</v>
      </c>
      <c r="C30" s="51">
        <f>SUM(D30:X30)</f>
        <v>3074.7532210197278</v>
      </c>
      <c r="D30" s="51">
        <f>D29+总成本费用估算表!D12</f>
        <v>0</v>
      </c>
      <c r="E30" s="51">
        <f>E29+总成本费用估算表!E12</f>
        <v>167.47673544874976</v>
      </c>
      <c r="F30" s="51">
        <f>F29+总成本费用估算表!F12</f>
        <v>166.62025742774159</v>
      </c>
      <c r="G30" s="51">
        <f>G29+总成本费用估算表!G12</f>
        <v>165.76377940673348</v>
      </c>
      <c r="H30" s="51">
        <f>H29+总成本费用估算表!H12</f>
        <v>164.90730138572533</v>
      </c>
      <c r="I30" s="51">
        <f>I29+总成本费用估算表!I12</f>
        <v>164.05082336471722</v>
      </c>
      <c r="J30" s="51">
        <f>J29+总成本费用估算表!J12</f>
        <v>155.34346917810845</v>
      </c>
      <c r="K30" s="51">
        <f>K29+总成本费用估算表!K12</f>
        <v>154.79112359569277</v>
      </c>
      <c r="L30" s="51">
        <f>L29+总成本费用估算表!L12</f>
        <v>153.95063045798128</v>
      </c>
      <c r="M30" s="51">
        <f>M29+总成本费用估算表!M12</f>
        <v>153.11013732026976</v>
      </c>
      <c r="N30" s="51">
        <f>N29+总成本费用估算表!N12</f>
        <v>152.26964418255827</v>
      </c>
      <c r="O30" s="51">
        <f>O29+总成本费用估算表!O12</f>
        <v>151.42915104484678</v>
      </c>
      <c r="P30" s="51">
        <f>P29+总成本费用估算表!P12</f>
        <v>150.58865790713529</v>
      </c>
      <c r="Q30" s="51">
        <f>Q29+总成本费用估算表!Q12</f>
        <v>149.74816476942374</v>
      </c>
      <c r="R30" s="51">
        <f>R29+总成本费用估算表!R12</f>
        <v>148.90767163171228</v>
      </c>
      <c r="S30" s="51">
        <f>S29+总成本费用估算表!S12</f>
        <v>148.06717849400076</v>
      </c>
      <c r="T30" s="51">
        <f>T29+总成本费用估算表!T12</f>
        <v>147.22668535628927</v>
      </c>
      <c r="U30" s="51">
        <f>U29+总成本费用估算表!U12</f>
        <v>146.38619221857778</v>
      </c>
      <c r="V30" s="51">
        <f>V29+总成本费用估算表!V12</f>
        <v>145.5456990808662</v>
      </c>
      <c r="W30" s="51">
        <f>W29+总成本费用估算表!W12</f>
        <v>144.70520594315474</v>
      </c>
      <c r="X30" s="51">
        <f>X29+总成本费用估算表!X12</f>
        <v>143.86471280544322</v>
      </c>
    </row>
  </sheetData>
  <sheetProtection password="C6BB" sheet="1" objects="1" scenarios="1"/>
  <mergeCells count="7">
    <mergeCell ref="B6:C6"/>
    <mergeCell ref="C1:X3"/>
    <mergeCell ref="A4:A5"/>
    <mergeCell ref="B4:B5"/>
    <mergeCell ref="C4:C5"/>
    <mergeCell ref="E4:M4"/>
    <mergeCell ref="N4:X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9"/>
  <sheetViews>
    <sheetView workbookViewId="0">
      <selection activeCell="T25" sqref="T25"/>
    </sheetView>
  </sheetViews>
  <sheetFormatPr defaultRowHeight="13.5"/>
  <cols>
    <col min="1" max="1" width="5.125" customWidth="1"/>
    <col min="2" max="2" width="11.25" customWidth="1"/>
    <col min="3" max="3" width="11.25" bestFit="1" customWidth="1"/>
    <col min="4" max="8" width="9.375" bestFit="1" customWidth="1"/>
  </cols>
  <sheetData>
    <row r="1" spans="1:24">
      <c r="A1" s="88" t="s">
        <v>278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>
      <c r="A3" s="86" t="s">
        <v>0</v>
      </c>
      <c r="B3" s="86" t="s">
        <v>11</v>
      </c>
      <c r="C3" s="86" t="s">
        <v>30</v>
      </c>
      <c r="D3" s="30" t="s">
        <v>38</v>
      </c>
      <c r="E3" s="86" t="s">
        <v>39</v>
      </c>
      <c r="F3" s="86"/>
      <c r="G3" s="86"/>
      <c r="H3" s="86"/>
      <c r="I3" s="86"/>
      <c r="J3" s="86"/>
      <c r="K3" s="86"/>
      <c r="L3" s="86"/>
      <c r="M3" s="86"/>
      <c r="N3" s="86" t="s">
        <v>39</v>
      </c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>
      <c r="A4" s="86"/>
      <c r="B4" s="86"/>
      <c r="C4" s="86"/>
      <c r="D4" s="30" t="s">
        <v>40</v>
      </c>
      <c r="E4" s="30" t="s">
        <v>41</v>
      </c>
      <c r="F4" s="30" t="s">
        <v>42</v>
      </c>
      <c r="G4" s="30" t="s">
        <v>43</v>
      </c>
      <c r="H4" s="30" t="s">
        <v>44</v>
      </c>
      <c r="I4" s="30" t="s">
        <v>45</v>
      </c>
      <c r="J4" s="30" t="s">
        <v>46</v>
      </c>
      <c r="K4" s="30" t="s">
        <v>47</v>
      </c>
      <c r="L4" s="30" t="s">
        <v>48</v>
      </c>
      <c r="M4" s="30" t="s">
        <v>49</v>
      </c>
      <c r="N4" s="30" t="s">
        <v>244</v>
      </c>
      <c r="O4" s="30" t="s">
        <v>245</v>
      </c>
      <c r="P4" s="30" t="s">
        <v>246</v>
      </c>
      <c r="Q4" s="30" t="s">
        <v>247</v>
      </c>
      <c r="R4" s="30" t="s">
        <v>248</v>
      </c>
      <c r="S4" s="30" t="s">
        <v>249</v>
      </c>
      <c r="T4" s="30" t="s">
        <v>250</v>
      </c>
      <c r="U4" s="30" t="s">
        <v>251</v>
      </c>
      <c r="V4" s="30" t="s">
        <v>252</v>
      </c>
      <c r="W4" s="30" t="s">
        <v>253</v>
      </c>
      <c r="X4" s="30" t="s">
        <v>254</v>
      </c>
    </row>
    <row r="5" spans="1:24">
      <c r="A5" s="31">
        <v>1</v>
      </c>
      <c r="B5" s="31" t="s">
        <v>35</v>
      </c>
      <c r="C5" s="32">
        <f>SUM(D5:X5)</f>
        <v>1222.7852800000001</v>
      </c>
      <c r="D5" s="32">
        <f>项目总投资资金筹措计划表!C14</f>
        <v>1222.7852800000001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</row>
    <row r="6" spans="1:24">
      <c r="A6" s="31">
        <v>1.1000000000000001</v>
      </c>
      <c r="B6" s="31" t="s">
        <v>74</v>
      </c>
      <c r="C6" s="32"/>
      <c r="D6" s="32">
        <v>0</v>
      </c>
      <c r="E6" s="32">
        <f>D5</f>
        <v>1222.7852800000001</v>
      </c>
      <c r="F6" s="32">
        <f t="shared" ref="F6:O6" si="0">E6-E8</f>
        <v>1100.506752</v>
      </c>
      <c r="G6" s="32">
        <f t="shared" si="0"/>
        <v>978.22822399999995</v>
      </c>
      <c r="H6" s="32">
        <f t="shared" si="0"/>
        <v>855.9496959999999</v>
      </c>
      <c r="I6" s="32">
        <f t="shared" si="0"/>
        <v>733.67116799999985</v>
      </c>
      <c r="J6" s="32">
        <f t="shared" si="0"/>
        <v>611.3926399999998</v>
      </c>
      <c r="K6" s="32">
        <f t="shared" si="0"/>
        <v>489.11411199999981</v>
      </c>
      <c r="L6" s="32">
        <f t="shared" si="0"/>
        <v>366.83558399999981</v>
      </c>
      <c r="M6" s="32">
        <f t="shared" si="0"/>
        <v>244.55705599999982</v>
      </c>
      <c r="N6" s="32">
        <f t="shared" si="0"/>
        <v>122.27852799999981</v>
      </c>
      <c r="O6" s="34">
        <f t="shared" si="0"/>
        <v>-1.9895196601282805E-13</v>
      </c>
      <c r="P6" s="34">
        <f t="shared" ref="P6:X6" si="1">O6-O8</f>
        <v>-1.9895196601282805E-13</v>
      </c>
      <c r="Q6" s="34">
        <f t="shared" si="1"/>
        <v>-1.9895196601282805E-13</v>
      </c>
      <c r="R6" s="34">
        <f t="shared" si="1"/>
        <v>-1.9895196601282805E-13</v>
      </c>
      <c r="S6" s="34">
        <f t="shared" si="1"/>
        <v>-1.9895196601282805E-13</v>
      </c>
      <c r="T6" s="34">
        <f t="shared" si="1"/>
        <v>-1.9895196601282805E-13</v>
      </c>
      <c r="U6" s="34">
        <f t="shared" si="1"/>
        <v>-1.9895196601282805E-13</v>
      </c>
      <c r="V6" s="34">
        <f t="shared" si="1"/>
        <v>-1.9895196601282805E-13</v>
      </c>
      <c r="W6" s="34">
        <f t="shared" si="1"/>
        <v>-1.9895196601282805E-13</v>
      </c>
      <c r="X6" s="34">
        <f t="shared" si="1"/>
        <v>-1.9895196601282805E-13</v>
      </c>
    </row>
    <row r="7" spans="1:24">
      <c r="A7" s="31">
        <v>1.2</v>
      </c>
      <c r="B7" s="31" t="s">
        <v>75</v>
      </c>
      <c r="C7" s="32"/>
      <c r="D7" s="32"/>
      <c r="E7" s="32">
        <f>E8+E9</f>
        <v>173.45209196799999</v>
      </c>
      <c r="F7" s="32">
        <f t="shared" ref="F7:N7" si="2">F8+F9</f>
        <v>168.33473557120001</v>
      </c>
      <c r="G7" s="32">
        <f t="shared" si="2"/>
        <v>163.21737917440001</v>
      </c>
      <c r="H7" s="32">
        <f t="shared" si="2"/>
        <v>158.1000227776</v>
      </c>
      <c r="I7" s="32">
        <f t="shared" si="2"/>
        <v>152.9826663808</v>
      </c>
      <c r="J7" s="32">
        <f t="shared" si="2"/>
        <v>147.86530998400002</v>
      </c>
      <c r="K7" s="32">
        <f t="shared" si="2"/>
        <v>142.74795358720002</v>
      </c>
      <c r="L7" s="32">
        <f t="shared" si="2"/>
        <v>137.63059719040001</v>
      </c>
      <c r="M7" s="32">
        <f t="shared" si="2"/>
        <v>132.5132407936</v>
      </c>
      <c r="N7" s="32">
        <f t="shared" si="2"/>
        <v>127.39588439680001</v>
      </c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>
      <c r="A8" s="31" t="s">
        <v>76</v>
      </c>
      <c r="B8" s="31" t="s">
        <v>77</v>
      </c>
      <c r="C8" s="32">
        <f>SUM(D8:N8)</f>
        <v>1222.7852800000003</v>
      </c>
      <c r="D8" s="33">
        <v>0</v>
      </c>
      <c r="E8" s="32">
        <f>C5/10</f>
        <v>122.27852800000001</v>
      </c>
      <c r="F8" s="32">
        <f t="shared" ref="F8:N8" si="3">E8</f>
        <v>122.27852800000001</v>
      </c>
      <c r="G8" s="32">
        <f t="shared" si="3"/>
        <v>122.27852800000001</v>
      </c>
      <c r="H8" s="32">
        <f t="shared" si="3"/>
        <v>122.27852800000001</v>
      </c>
      <c r="I8" s="32">
        <f t="shared" si="3"/>
        <v>122.27852800000001</v>
      </c>
      <c r="J8" s="32">
        <f t="shared" si="3"/>
        <v>122.27852800000001</v>
      </c>
      <c r="K8" s="32">
        <f t="shared" si="3"/>
        <v>122.27852800000001</v>
      </c>
      <c r="L8" s="32">
        <f t="shared" si="3"/>
        <v>122.27852800000001</v>
      </c>
      <c r="M8" s="32">
        <f t="shared" si="3"/>
        <v>122.27852800000001</v>
      </c>
      <c r="N8" s="32">
        <f t="shared" si="3"/>
        <v>122.27852800000001</v>
      </c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>
      <c r="A9" s="31" t="s">
        <v>78</v>
      </c>
      <c r="B9" s="31" t="s">
        <v>79</v>
      </c>
      <c r="C9" s="32"/>
      <c r="D9" s="32"/>
      <c r="E9" s="32">
        <f>D5*主要技术经济指标!D11/100</f>
        <v>51.173563967999996</v>
      </c>
      <c r="F9" s="32">
        <f>E10*主要技术经济指标!D11/100</f>
        <v>46.056207571200005</v>
      </c>
      <c r="G9" s="32">
        <f>F10*主要技术经济指标!D11/100</f>
        <v>40.9388511744</v>
      </c>
      <c r="H9" s="32">
        <f>G10*主要技术经济指标!D11/100</f>
        <v>35.821494777600002</v>
      </c>
      <c r="I9" s="32">
        <f>H10*主要技术经济指标!D11/100</f>
        <v>30.7041383808</v>
      </c>
      <c r="J9" s="32">
        <f>I10*主要技术经济指标!D11/100</f>
        <v>25.586781983999998</v>
      </c>
      <c r="K9" s="32">
        <f>J10*主要技术经济指标!D11/100</f>
        <v>20.4694255872</v>
      </c>
      <c r="L9" s="32">
        <f>K10*主要技术经济指标!D11/100</f>
        <v>15.3520691904</v>
      </c>
      <c r="M9" s="32">
        <f>L10*主要技术经济指标!D11/100</f>
        <v>10.2347127936</v>
      </c>
      <c r="N9" s="32">
        <f>M10*主要技术经济指标!D11/100</f>
        <v>5.1173563968000018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</row>
    <row r="10" spans="1:24">
      <c r="A10" s="31">
        <v>1.3</v>
      </c>
      <c r="B10" s="31" t="s">
        <v>80</v>
      </c>
      <c r="C10" s="32"/>
      <c r="D10" s="32"/>
      <c r="E10" s="32">
        <f>C8-E8</f>
        <v>1100.5067520000002</v>
      </c>
      <c r="F10" s="32">
        <f t="shared" ref="F10:M10" si="4">E10-F8</f>
        <v>978.22822400000018</v>
      </c>
      <c r="G10" s="32">
        <f t="shared" si="4"/>
        <v>855.94969600000013</v>
      </c>
      <c r="H10" s="32">
        <f t="shared" si="4"/>
        <v>733.67116800000008</v>
      </c>
      <c r="I10" s="32">
        <f t="shared" si="4"/>
        <v>611.39264000000003</v>
      </c>
      <c r="J10" s="32">
        <f t="shared" si="4"/>
        <v>489.11411200000003</v>
      </c>
      <c r="K10" s="32">
        <f t="shared" si="4"/>
        <v>366.83558400000004</v>
      </c>
      <c r="L10" s="32">
        <f t="shared" si="4"/>
        <v>244.55705600000005</v>
      </c>
      <c r="M10" s="32">
        <f t="shared" si="4"/>
        <v>122.27852800000004</v>
      </c>
      <c r="N10" s="32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>
      <c r="A11" s="31">
        <v>2</v>
      </c>
      <c r="B11" s="31" t="s">
        <v>37</v>
      </c>
      <c r="C11" s="32">
        <f>SUM(D11:X11)</f>
        <v>4.1999999999999993</v>
      </c>
      <c r="D11" s="33">
        <v>0</v>
      </c>
      <c r="E11" s="32">
        <f>项目总投资资金筹措计划表!C17</f>
        <v>4.1999999999999993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</row>
    <row r="12" spans="1:24" ht="24">
      <c r="A12" s="31">
        <v>2.1</v>
      </c>
      <c r="B12" s="31" t="s">
        <v>81</v>
      </c>
      <c r="C12" s="32"/>
      <c r="D12" s="33">
        <v>0</v>
      </c>
      <c r="E12" s="32">
        <f>E11</f>
        <v>4.1999999999999993</v>
      </c>
      <c r="F12" s="32">
        <f t="shared" ref="F12:W12" si="5">E12</f>
        <v>4.1999999999999993</v>
      </c>
      <c r="G12" s="32">
        <f t="shared" si="5"/>
        <v>4.1999999999999993</v>
      </c>
      <c r="H12" s="32">
        <f t="shared" si="5"/>
        <v>4.1999999999999993</v>
      </c>
      <c r="I12" s="32">
        <f t="shared" si="5"/>
        <v>4.1999999999999993</v>
      </c>
      <c r="J12" s="32">
        <f t="shared" si="5"/>
        <v>4.1999999999999993</v>
      </c>
      <c r="K12" s="32">
        <f t="shared" si="5"/>
        <v>4.1999999999999993</v>
      </c>
      <c r="L12" s="32">
        <f t="shared" si="5"/>
        <v>4.1999999999999993</v>
      </c>
      <c r="M12" s="32">
        <f t="shared" si="5"/>
        <v>4.1999999999999993</v>
      </c>
      <c r="N12" s="32">
        <f t="shared" si="5"/>
        <v>4.1999999999999993</v>
      </c>
      <c r="O12" s="32">
        <f t="shared" si="5"/>
        <v>4.1999999999999993</v>
      </c>
      <c r="P12" s="32">
        <f t="shared" si="5"/>
        <v>4.1999999999999993</v>
      </c>
      <c r="Q12" s="32">
        <f t="shared" si="5"/>
        <v>4.1999999999999993</v>
      </c>
      <c r="R12" s="32">
        <f t="shared" si="5"/>
        <v>4.1999999999999993</v>
      </c>
      <c r="S12" s="32">
        <f t="shared" si="5"/>
        <v>4.1999999999999993</v>
      </c>
      <c r="T12" s="32">
        <f t="shared" si="5"/>
        <v>4.1999999999999993</v>
      </c>
      <c r="U12" s="32">
        <f t="shared" si="5"/>
        <v>4.1999999999999993</v>
      </c>
      <c r="V12" s="32">
        <f t="shared" si="5"/>
        <v>4.1999999999999993</v>
      </c>
      <c r="W12" s="32">
        <f t="shared" si="5"/>
        <v>4.1999999999999993</v>
      </c>
      <c r="X12" s="32">
        <v>0</v>
      </c>
    </row>
    <row r="13" spans="1:24">
      <c r="A13" s="31">
        <v>2.2000000000000002</v>
      </c>
      <c r="B13" s="31" t="s">
        <v>82</v>
      </c>
      <c r="C13" s="32">
        <f>SUM(D13:X13)</f>
        <v>3.5153999999999992</v>
      </c>
      <c r="D13" s="33">
        <v>0</v>
      </c>
      <c r="E13" s="32">
        <f>E12*主要技术经济指标!D11/100</f>
        <v>0.17576999999999995</v>
      </c>
      <c r="F13" s="32">
        <f t="shared" ref="F13:X13" si="6">E13</f>
        <v>0.17576999999999995</v>
      </c>
      <c r="G13" s="32">
        <f t="shared" si="6"/>
        <v>0.17576999999999995</v>
      </c>
      <c r="H13" s="32">
        <f t="shared" si="6"/>
        <v>0.17576999999999995</v>
      </c>
      <c r="I13" s="32">
        <f t="shared" si="6"/>
        <v>0.17576999999999995</v>
      </c>
      <c r="J13" s="32">
        <f t="shared" si="6"/>
        <v>0.17576999999999995</v>
      </c>
      <c r="K13" s="32">
        <f t="shared" si="6"/>
        <v>0.17576999999999995</v>
      </c>
      <c r="L13" s="32">
        <f t="shared" si="6"/>
        <v>0.17576999999999995</v>
      </c>
      <c r="M13" s="32">
        <f t="shared" si="6"/>
        <v>0.17576999999999995</v>
      </c>
      <c r="N13" s="32">
        <f t="shared" si="6"/>
        <v>0.17576999999999995</v>
      </c>
      <c r="O13" s="32">
        <f t="shared" si="6"/>
        <v>0.17576999999999995</v>
      </c>
      <c r="P13" s="32">
        <f t="shared" si="6"/>
        <v>0.17576999999999995</v>
      </c>
      <c r="Q13" s="32">
        <f t="shared" si="6"/>
        <v>0.17576999999999995</v>
      </c>
      <c r="R13" s="32">
        <f t="shared" si="6"/>
        <v>0.17576999999999995</v>
      </c>
      <c r="S13" s="32">
        <f t="shared" si="6"/>
        <v>0.17576999999999995</v>
      </c>
      <c r="T13" s="32">
        <f t="shared" si="6"/>
        <v>0.17576999999999995</v>
      </c>
      <c r="U13" s="32">
        <f t="shared" si="6"/>
        <v>0.17576999999999995</v>
      </c>
      <c r="V13" s="32">
        <f t="shared" si="6"/>
        <v>0.17576999999999995</v>
      </c>
      <c r="W13" s="32">
        <f t="shared" si="6"/>
        <v>0.17576999999999995</v>
      </c>
      <c r="X13" s="32">
        <f t="shared" si="6"/>
        <v>0.17576999999999995</v>
      </c>
    </row>
    <row r="14" spans="1:24" ht="24">
      <c r="A14" s="31">
        <v>2.2999999999999998</v>
      </c>
      <c r="B14" s="31" t="s">
        <v>83</v>
      </c>
      <c r="C14" s="32">
        <f>SUM(D14:X14)</f>
        <v>4.1999999999999993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2">
        <f>E11</f>
        <v>4.1999999999999993</v>
      </c>
    </row>
    <row r="15" spans="1:24">
      <c r="A15" s="31">
        <v>3</v>
      </c>
      <c r="B15" s="31" t="s">
        <v>84</v>
      </c>
      <c r="C15" s="33">
        <f>SUM(D15:X15)</f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</row>
    <row r="16" spans="1:24" ht="24">
      <c r="A16" s="31">
        <v>3.1</v>
      </c>
      <c r="B16" s="31" t="s">
        <v>85</v>
      </c>
      <c r="C16" s="32">
        <f>SUM(D16:X16)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</row>
    <row r="17" spans="1:24">
      <c r="A17" s="31">
        <v>3.2</v>
      </c>
      <c r="B17" s="31" t="s">
        <v>86</v>
      </c>
      <c r="C17" s="32">
        <f>SUM(D17:X17)</f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</row>
    <row r="18" spans="1:24">
      <c r="A18" s="87" t="s">
        <v>87</v>
      </c>
      <c r="B18" s="31" t="s">
        <v>88</v>
      </c>
      <c r="C18" s="32"/>
      <c r="D18" s="33">
        <v>0</v>
      </c>
      <c r="E18" s="51">
        <f>利润与利润分配表!E29/借款还本付息计划表!E9</f>
        <v>1.9580254648042692</v>
      </c>
      <c r="F18" s="51">
        <f>利润与利润分配表!F29/借款还本付息计划表!F9</f>
        <v>2.1569874853362272</v>
      </c>
      <c r="G18" s="51">
        <f>利润与利润分配表!G29/借款还本付息计划表!G9</f>
        <v>2.4056900110011781</v>
      </c>
      <c r="H18" s="51">
        <f>利润与利润分配表!H29/借款还本付息计划表!H9</f>
        <v>2.7254504011418264</v>
      </c>
      <c r="I18" s="51">
        <f>利润与利润分配表!I29/借款还本付息计划表!I9</f>
        <v>3.1517975879960263</v>
      </c>
      <c r="J18" s="51">
        <f>利润与利润分配表!J29/借款还本付息计划表!J9</f>
        <v>3.4418503725307268</v>
      </c>
      <c r="K18" s="51">
        <f>利润与利润分配表!K29/借款还本付息计划表!K9</f>
        <v>4.275329033942282</v>
      </c>
      <c r="L18" s="51">
        <f>利润与利润分配表!L29/借款还本付息计划表!L9</f>
        <v>5.6456908387023397</v>
      </c>
      <c r="M18" s="51">
        <f>利润与利润分配表!M29/借款还本付息计划表!M9</f>
        <v>8.3864144482224479</v>
      </c>
      <c r="N18" s="51">
        <f>利润与利润分配表!N29/借款还本付息计划表!N9</f>
        <v>16.608585276782783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</row>
    <row r="19" spans="1:24">
      <c r="A19" s="87"/>
      <c r="B19" s="31" t="s">
        <v>89</v>
      </c>
      <c r="C19" s="32"/>
      <c r="D19" s="33">
        <v>0</v>
      </c>
      <c r="E19" s="32">
        <f>利润与利润分配表!E30/借款还本付息计划表!E7</f>
        <v>0.96555039232186013</v>
      </c>
      <c r="F19" s="32">
        <f>利润与利润分配表!F30/借款还本付息计划表!F7</f>
        <v>0.98981506616777104</v>
      </c>
      <c r="G19" s="32">
        <f>利润与利润分配表!G30/借款还本付息计划表!G7</f>
        <v>1.0156012812190336</v>
      </c>
      <c r="H19" s="32">
        <f>利润与利润分配表!H30/借款还本付息计划表!H7</f>
        <v>1.0430567844870027</v>
      </c>
      <c r="I19" s="32">
        <f>利润与利润分配表!I30/借款还本付息计划表!I7</f>
        <v>1.0723490918661771</v>
      </c>
      <c r="J19" s="32">
        <f>利润与利润分配表!J30/借款还本付息计划表!J7</f>
        <v>1.0505741285425068</v>
      </c>
      <c r="K19" s="32">
        <f>利润与利润分配表!K30/借款还本付息计划表!K7</f>
        <v>1.0843666736079405</v>
      </c>
      <c r="L19" s="32">
        <f>利润与利润分配表!L30/借款还本付息计划表!L7</f>
        <v>1.1185785254205061</v>
      </c>
      <c r="M19" s="32">
        <f>利润与利润分配表!M30/借款还本付息计划表!M7</f>
        <v>1.1554327431984783</v>
      </c>
      <c r="N19" s="32">
        <f>利润与利润分配表!N30/借款还本付息计划表!N7</f>
        <v>1.1952477499844809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</row>
  </sheetData>
  <sheetProtection password="C6BB" sheet="1" objects="1" scenarios="1"/>
  <mergeCells count="7">
    <mergeCell ref="A18:A19"/>
    <mergeCell ref="A1:X2"/>
    <mergeCell ref="A3:A4"/>
    <mergeCell ref="B3:B4"/>
    <mergeCell ref="C3:C4"/>
    <mergeCell ref="E3:M3"/>
    <mergeCell ref="N3:X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8"/>
  <sheetViews>
    <sheetView zoomScale="90" zoomScaleNormal="90" workbookViewId="0">
      <selection activeCell="E7" sqref="E7"/>
    </sheetView>
  </sheetViews>
  <sheetFormatPr defaultRowHeight="13.5"/>
  <cols>
    <col min="2" max="2" width="22.25" customWidth="1"/>
    <col min="3" max="4" width="11.375" bestFit="1" customWidth="1"/>
    <col min="5" max="5" width="11.25" bestFit="1" customWidth="1"/>
    <col min="6" max="6" width="11.375" bestFit="1" customWidth="1"/>
    <col min="7" max="16" width="11.25" bestFit="1" customWidth="1"/>
    <col min="17" max="17" width="11.375" bestFit="1" customWidth="1"/>
    <col min="18" max="24" width="11.25" bestFit="1" customWidth="1"/>
  </cols>
  <sheetData>
    <row r="1" spans="1:24">
      <c r="A1" s="90" t="s">
        <v>294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>
      <c r="A3" s="91" t="s">
        <v>0</v>
      </c>
      <c r="B3" s="91" t="s">
        <v>11</v>
      </c>
      <c r="C3" s="91" t="s">
        <v>30</v>
      </c>
      <c r="D3" s="39" t="s">
        <v>38</v>
      </c>
      <c r="E3" s="91" t="s">
        <v>39</v>
      </c>
      <c r="F3" s="91"/>
      <c r="G3" s="91"/>
      <c r="H3" s="91"/>
      <c r="I3" s="91"/>
      <c r="J3" s="91"/>
      <c r="K3" s="91"/>
      <c r="L3" s="91"/>
      <c r="M3" s="91"/>
      <c r="N3" s="91" t="s">
        <v>39</v>
      </c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>
      <c r="A4" s="91"/>
      <c r="B4" s="91"/>
      <c r="C4" s="91"/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39" t="s">
        <v>45</v>
      </c>
      <c r="J4" s="39" t="s">
        <v>46</v>
      </c>
      <c r="K4" s="39" t="s">
        <v>47</v>
      </c>
      <c r="L4" s="39" t="s">
        <v>48</v>
      </c>
      <c r="M4" s="39" t="s">
        <v>49</v>
      </c>
      <c r="N4" s="39" t="s">
        <v>244</v>
      </c>
      <c r="O4" s="39" t="s">
        <v>245</v>
      </c>
      <c r="P4" s="39" t="s">
        <v>246</v>
      </c>
      <c r="Q4" s="39" t="s">
        <v>247</v>
      </c>
      <c r="R4" s="39" t="s">
        <v>248</v>
      </c>
      <c r="S4" s="39" t="s">
        <v>249</v>
      </c>
      <c r="T4" s="39" t="s">
        <v>250</v>
      </c>
      <c r="U4" s="39" t="s">
        <v>251</v>
      </c>
      <c r="V4" s="39" t="s">
        <v>252</v>
      </c>
      <c r="W4" s="39" t="s">
        <v>253</v>
      </c>
      <c r="X4" s="39" t="s">
        <v>254</v>
      </c>
    </row>
    <row r="5" spans="1:24">
      <c r="A5" s="40">
        <v>1</v>
      </c>
      <c r="B5" s="40" t="s">
        <v>90</v>
      </c>
      <c r="C5" s="41">
        <f t="shared" ref="C5:C10" si="0">SUM(D5:X5)</f>
        <v>2918.571748614203</v>
      </c>
      <c r="D5" s="54">
        <f>D6-D11</f>
        <v>0</v>
      </c>
      <c r="E5" s="41">
        <f t="shared" ref="E5:X5" si="1">E6-E11</f>
        <v>196.48633846857277</v>
      </c>
      <c r="F5" s="41">
        <f t="shared" si="1"/>
        <v>195.49665308675927</v>
      </c>
      <c r="G5" s="41">
        <f t="shared" si="1"/>
        <v>194.50696770494591</v>
      </c>
      <c r="H5" s="41">
        <f t="shared" si="1"/>
        <v>185.8132270064437</v>
      </c>
      <c r="I5" s="41">
        <f t="shared" si="1"/>
        <v>184.29093182765627</v>
      </c>
      <c r="J5" s="41">
        <f t="shared" si="1"/>
        <v>145.15432416070649</v>
      </c>
      <c r="K5" s="41">
        <f t="shared" si="1"/>
        <v>138.07404011222349</v>
      </c>
      <c r="L5" s="41">
        <f t="shared" si="1"/>
        <v>136.16433115973987</v>
      </c>
      <c r="M5" s="41">
        <f t="shared" si="1"/>
        <v>134.25462220725618</v>
      </c>
      <c r="N5" s="41">
        <f t="shared" si="1"/>
        <v>132.34491325477256</v>
      </c>
      <c r="O5" s="41">
        <f t="shared" si="1"/>
        <v>130.43520430228898</v>
      </c>
      <c r="P5" s="41">
        <f t="shared" si="1"/>
        <v>129.80483444900534</v>
      </c>
      <c r="Q5" s="41">
        <f t="shared" si="1"/>
        <v>129.17446459572167</v>
      </c>
      <c r="R5" s="41">
        <f t="shared" si="1"/>
        <v>128.54409474243806</v>
      </c>
      <c r="S5" s="41">
        <f t="shared" si="1"/>
        <v>127.91372488915445</v>
      </c>
      <c r="T5" s="41">
        <f t="shared" si="1"/>
        <v>127.2833550358708</v>
      </c>
      <c r="U5" s="41">
        <f t="shared" si="1"/>
        <v>126.6529851825872</v>
      </c>
      <c r="V5" s="41">
        <f t="shared" si="1"/>
        <v>126.02261532930356</v>
      </c>
      <c r="W5" s="41">
        <f t="shared" si="1"/>
        <v>125.39224547601995</v>
      </c>
      <c r="X5" s="41">
        <f t="shared" si="1"/>
        <v>124.76187562273628</v>
      </c>
    </row>
    <row r="6" spans="1:24">
      <c r="A6" s="40">
        <v>1.1000000000000001</v>
      </c>
      <c r="B6" s="40" t="s">
        <v>91</v>
      </c>
      <c r="C6" s="41">
        <f t="shared" si="0"/>
        <v>4823.2108298700032</v>
      </c>
      <c r="D6" s="54">
        <f>D7+D8+D9+D10</f>
        <v>0</v>
      </c>
      <c r="E6" s="41">
        <f t="shared" ref="E6:X6" si="2">E7+E8+E9+E10</f>
        <v>252.16039548000003</v>
      </c>
      <c r="F6" s="41">
        <f t="shared" si="2"/>
        <v>251.00251611300001</v>
      </c>
      <c r="G6" s="41">
        <f t="shared" si="2"/>
        <v>249.84463674600011</v>
      </c>
      <c r="H6" s="41">
        <f t="shared" si="2"/>
        <v>248.68675737900008</v>
      </c>
      <c r="I6" s="41">
        <f t="shared" si="2"/>
        <v>247.52887801200009</v>
      </c>
      <c r="J6" s="41">
        <f t="shared" si="2"/>
        <v>246.37099864500013</v>
      </c>
      <c r="K6" s="41">
        <f t="shared" si="2"/>
        <v>245.21311927800014</v>
      </c>
      <c r="L6" s="41">
        <f t="shared" si="2"/>
        <v>244.05523991100017</v>
      </c>
      <c r="M6" s="41">
        <f t="shared" si="2"/>
        <v>242.89736054400012</v>
      </c>
      <c r="N6" s="41">
        <f t="shared" si="2"/>
        <v>241.73948117700016</v>
      </c>
      <c r="O6" s="41">
        <f t="shared" si="2"/>
        <v>240.58160181000019</v>
      </c>
      <c r="P6" s="41">
        <f t="shared" si="2"/>
        <v>239.42372244300023</v>
      </c>
      <c r="Q6" s="41">
        <f t="shared" si="2"/>
        <v>238.26584307600018</v>
      </c>
      <c r="R6" s="41">
        <f t="shared" si="2"/>
        <v>237.10796370900022</v>
      </c>
      <c r="S6" s="41">
        <f t="shared" si="2"/>
        <v>235.95008434200025</v>
      </c>
      <c r="T6" s="41">
        <f t="shared" si="2"/>
        <v>234.79220497500023</v>
      </c>
      <c r="U6" s="41">
        <f t="shared" si="2"/>
        <v>233.63432560800027</v>
      </c>
      <c r="V6" s="41">
        <f t="shared" si="2"/>
        <v>232.47644624100025</v>
      </c>
      <c r="W6" s="41">
        <f t="shared" si="2"/>
        <v>231.31856687400028</v>
      </c>
      <c r="X6" s="41">
        <f t="shared" si="2"/>
        <v>230.16068750700026</v>
      </c>
    </row>
    <row r="7" spans="1:24">
      <c r="A7" s="40" t="s">
        <v>92</v>
      </c>
      <c r="B7" s="40" t="s">
        <v>54</v>
      </c>
      <c r="C7" s="41">
        <f t="shared" si="0"/>
        <v>4268.3281680265509</v>
      </c>
      <c r="D7" s="40">
        <v>0</v>
      </c>
      <c r="E7" s="41">
        <f>利润与利润分配表!E10</f>
        <v>223.15079246017703</v>
      </c>
      <c r="F7" s="41">
        <f>利润与利润分配表!F10</f>
        <v>222.12612045398231</v>
      </c>
      <c r="G7" s="41">
        <f>利润与利润分配表!G10</f>
        <v>221.1014484477877</v>
      </c>
      <c r="H7" s="41">
        <f>利润与利润分配表!H10</f>
        <v>220.07677644159298</v>
      </c>
      <c r="I7" s="41">
        <f>利润与利润分配表!I10</f>
        <v>219.05210443539832</v>
      </c>
      <c r="J7" s="41">
        <f>利润与利润分配表!J10</f>
        <v>218.02743242920366</v>
      </c>
      <c r="K7" s="41">
        <f>利润与利润分配表!K10</f>
        <v>217.00276042300897</v>
      </c>
      <c r="L7" s="41">
        <f>利润与利润分配表!L10</f>
        <v>215.9780884168143</v>
      </c>
      <c r="M7" s="41">
        <f>利润与利润分配表!M10</f>
        <v>214.95341641061958</v>
      </c>
      <c r="N7" s="41">
        <f>利润与利润分配表!N10</f>
        <v>213.92874440442492</v>
      </c>
      <c r="O7" s="41">
        <f>利润与利润分配表!O10</f>
        <v>212.90407239823026</v>
      </c>
      <c r="P7" s="41">
        <f>利润与利润分配表!P10</f>
        <v>211.87940039203559</v>
      </c>
      <c r="Q7" s="41">
        <f>利润与利润分配表!Q10</f>
        <v>210.85472838584087</v>
      </c>
      <c r="R7" s="41">
        <f>利润与利润分配表!R10</f>
        <v>209.83005637964621</v>
      </c>
      <c r="S7" s="41">
        <f>利润与利润分配表!S10</f>
        <v>208.80538437345155</v>
      </c>
      <c r="T7" s="41">
        <f>利润与利润分配表!T10</f>
        <v>207.78071236725685</v>
      </c>
      <c r="U7" s="41">
        <f>利润与利润分配表!U10</f>
        <v>206.75604036106219</v>
      </c>
      <c r="V7" s="41">
        <f>利润与利润分配表!V10</f>
        <v>205.73136835486747</v>
      </c>
      <c r="W7" s="41">
        <f>利润与利润分配表!W10</f>
        <v>204.70669634867281</v>
      </c>
      <c r="X7" s="41">
        <f>利润与利润分配表!X10</f>
        <v>203.68202434247812</v>
      </c>
    </row>
    <row r="8" spans="1:24">
      <c r="A8" s="40" t="s">
        <v>93</v>
      </c>
      <c r="B8" s="40" t="s">
        <v>94</v>
      </c>
      <c r="C8" s="41">
        <f t="shared" si="0"/>
        <v>554.88266184345173</v>
      </c>
      <c r="D8" s="40">
        <f>D7*0.13</f>
        <v>0</v>
      </c>
      <c r="E8" s="41">
        <f>E7*0.13</f>
        <v>29.009603019823015</v>
      </c>
      <c r="F8" s="41">
        <f t="shared" ref="F8:X8" si="3">F7*0.13</f>
        <v>28.8763956590177</v>
      </c>
      <c r="G8" s="41">
        <f t="shared" si="3"/>
        <v>28.743188298212402</v>
      </c>
      <c r="H8" s="41">
        <f t="shared" si="3"/>
        <v>28.609980937407087</v>
      </c>
      <c r="I8" s="41">
        <f t="shared" si="3"/>
        <v>28.476773576601783</v>
      </c>
      <c r="J8" s="41">
        <f t="shared" si="3"/>
        <v>28.343566215796475</v>
      </c>
      <c r="K8" s="41">
        <f t="shared" si="3"/>
        <v>28.210358854991167</v>
      </c>
      <c r="L8" s="41">
        <f t="shared" si="3"/>
        <v>28.077151494185859</v>
      </c>
      <c r="M8" s="41">
        <f t="shared" si="3"/>
        <v>27.943944133380548</v>
      </c>
      <c r="N8" s="41">
        <f t="shared" si="3"/>
        <v>27.81073677257524</v>
      </c>
      <c r="O8" s="41">
        <f t="shared" si="3"/>
        <v>27.677529411769935</v>
      </c>
      <c r="P8" s="41">
        <f t="shared" si="3"/>
        <v>27.544322050964627</v>
      </c>
      <c r="Q8" s="41">
        <f t="shared" si="3"/>
        <v>27.411114690159316</v>
      </c>
      <c r="R8" s="41">
        <f t="shared" si="3"/>
        <v>27.277907329354008</v>
      </c>
      <c r="S8" s="41">
        <f t="shared" si="3"/>
        <v>27.144699968548704</v>
      </c>
      <c r="T8" s="41">
        <f t="shared" si="3"/>
        <v>27.011492607743392</v>
      </c>
      <c r="U8" s="41">
        <f t="shared" si="3"/>
        <v>26.878285246938084</v>
      </c>
      <c r="V8" s="41">
        <f t="shared" si="3"/>
        <v>26.745077886132773</v>
      </c>
      <c r="W8" s="41">
        <f t="shared" si="3"/>
        <v>26.611870525327465</v>
      </c>
      <c r="X8" s="41">
        <f t="shared" si="3"/>
        <v>26.478663164522157</v>
      </c>
    </row>
    <row r="9" spans="1:24">
      <c r="A9" s="40" t="s">
        <v>95</v>
      </c>
      <c r="B9" s="40" t="s">
        <v>96</v>
      </c>
      <c r="C9" s="40">
        <f t="shared" si="0"/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</row>
    <row r="10" spans="1:24">
      <c r="A10" s="40" t="s">
        <v>97</v>
      </c>
      <c r="B10" s="40" t="s">
        <v>98</v>
      </c>
      <c r="C10" s="40">
        <f t="shared" si="0"/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</row>
    <row r="11" spans="1:24">
      <c r="A11" s="40">
        <v>1.2</v>
      </c>
      <c r="B11" s="40" t="s">
        <v>99</v>
      </c>
      <c r="C11" s="41">
        <f>C12+C13+C14+C15+C16+C17</f>
        <v>1904.6390812558006</v>
      </c>
      <c r="D11" s="55">
        <f t="shared" ref="D11:X11" si="4">D12+D13+D14+D15+D16+D17</f>
        <v>0</v>
      </c>
      <c r="E11" s="41">
        <f t="shared" si="4"/>
        <v>55.674057011427273</v>
      </c>
      <c r="F11" s="41">
        <f t="shared" si="4"/>
        <v>55.505863026240739</v>
      </c>
      <c r="G11" s="41">
        <f t="shared" si="4"/>
        <v>55.337669041054198</v>
      </c>
      <c r="H11" s="41">
        <f t="shared" si="4"/>
        <v>62.873530372556374</v>
      </c>
      <c r="I11" s="41">
        <f t="shared" si="4"/>
        <v>63.237946184343826</v>
      </c>
      <c r="J11" s="41">
        <f t="shared" si="4"/>
        <v>101.21667448429362</v>
      </c>
      <c r="K11" s="41">
        <f t="shared" si="4"/>
        <v>107.13907916577665</v>
      </c>
      <c r="L11" s="41">
        <f t="shared" si="4"/>
        <v>107.8909087512603</v>
      </c>
      <c r="M11" s="41">
        <f t="shared" si="4"/>
        <v>108.64273833674395</v>
      </c>
      <c r="N11" s="41">
        <f t="shared" si="4"/>
        <v>109.39456792222758</v>
      </c>
      <c r="O11" s="41">
        <f t="shared" si="4"/>
        <v>110.14639750771121</v>
      </c>
      <c r="P11" s="41">
        <f t="shared" si="4"/>
        <v>109.61888799399487</v>
      </c>
      <c r="Q11" s="41">
        <f t="shared" si="4"/>
        <v>109.09137848027851</v>
      </c>
      <c r="R11" s="41">
        <f t="shared" si="4"/>
        <v>108.56386896656214</v>
      </c>
      <c r="S11" s="41">
        <f t="shared" si="4"/>
        <v>108.0363594528458</v>
      </c>
      <c r="T11" s="41">
        <f t="shared" si="4"/>
        <v>107.50884993912943</v>
      </c>
      <c r="U11" s="41">
        <f t="shared" si="4"/>
        <v>106.98134042541307</v>
      </c>
      <c r="V11" s="41">
        <f t="shared" si="4"/>
        <v>106.45383091169668</v>
      </c>
      <c r="W11" s="41">
        <f t="shared" si="4"/>
        <v>105.92632139798033</v>
      </c>
      <c r="X11" s="41">
        <f t="shared" si="4"/>
        <v>105.39881188426398</v>
      </c>
    </row>
    <row r="12" spans="1:24">
      <c r="A12" s="40" t="s">
        <v>76</v>
      </c>
      <c r="B12" s="40" t="s">
        <v>51</v>
      </c>
      <c r="C12" s="41">
        <f t="shared" ref="C12:C17" si="5">SUM(D12:X12)</f>
        <v>1143.9467930092414</v>
      </c>
      <c r="D12" s="55">
        <f>总成本费用估算表!D25</f>
        <v>0</v>
      </c>
      <c r="E12" s="41">
        <f>总成本费用估算表!E25</f>
        <v>55.674057011427273</v>
      </c>
      <c r="F12" s="41">
        <f>总成本费用估算表!F25</f>
        <v>55.505863026240739</v>
      </c>
      <c r="G12" s="41">
        <f>总成本费用估算表!G25</f>
        <v>55.337669041054198</v>
      </c>
      <c r="H12" s="41">
        <f>总成本费用估算表!H25</f>
        <v>55.169475055867657</v>
      </c>
      <c r="I12" s="41">
        <f>总成本费用估算表!I25</f>
        <v>55.001281070681124</v>
      </c>
      <c r="J12" s="41">
        <f>总成本费用估算表!J25</f>
        <v>58.994587749903793</v>
      </c>
      <c r="K12" s="41">
        <f>总成本费用估算表!K25</f>
        <v>58.826393764717253</v>
      </c>
      <c r="L12" s="41">
        <f>总成本费用估算表!L25</f>
        <v>58.658199779530712</v>
      </c>
      <c r="M12" s="41">
        <f>总成本费用估算表!M25</f>
        <v>58.490005794344178</v>
      </c>
      <c r="N12" s="41">
        <f>总成本费用估算表!N25</f>
        <v>58.321811809157637</v>
      </c>
      <c r="O12" s="41">
        <f>总成本费用估算表!O25</f>
        <v>58.153617823971096</v>
      </c>
      <c r="P12" s="41">
        <f>总成本费用估算表!P25</f>
        <v>57.985423838784563</v>
      </c>
      <c r="Q12" s="41">
        <f>总成本费用估算表!Q25</f>
        <v>57.817229853598022</v>
      </c>
      <c r="R12" s="41">
        <f>总成本费用估算表!R25</f>
        <v>57.649035868411481</v>
      </c>
      <c r="S12" s="41">
        <f>总成本费用估算表!S25</f>
        <v>57.48084188322494</v>
      </c>
      <c r="T12" s="41">
        <f>总成本费用估算表!T25</f>
        <v>57.312647898038406</v>
      </c>
      <c r="U12" s="41">
        <f>总成本费用估算表!U25</f>
        <v>57.144453912851866</v>
      </c>
      <c r="V12" s="41">
        <f>总成本费用估算表!V25</f>
        <v>56.976259927665325</v>
      </c>
      <c r="W12" s="41">
        <f>总成本费用估算表!W25</f>
        <v>56.808065942478784</v>
      </c>
      <c r="X12" s="41">
        <f>总成本费用估算表!X25</f>
        <v>56.63987195729225</v>
      </c>
    </row>
    <row r="13" spans="1:24">
      <c r="A13" s="40" t="s">
        <v>78</v>
      </c>
      <c r="B13" s="40" t="s">
        <v>100</v>
      </c>
      <c r="C13" s="40">
        <f t="shared" si="5"/>
        <v>0</v>
      </c>
      <c r="D13" s="55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</row>
    <row r="14" spans="1:24">
      <c r="A14" s="40" t="s">
        <v>101</v>
      </c>
      <c r="B14" s="40" t="s">
        <v>55</v>
      </c>
      <c r="C14" s="41">
        <f t="shared" si="5"/>
        <v>49.628153997582608</v>
      </c>
      <c r="D14" s="53">
        <f>利润与利润分配表!D11</f>
        <v>0</v>
      </c>
      <c r="E14" s="42">
        <f>利润与利润分配表!E11</f>
        <v>0</v>
      </c>
      <c r="F14" s="42">
        <f>利润与利润分配表!F11</f>
        <v>0</v>
      </c>
      <c r="G14" s="42">
        <f>利润与利润分配表!G11</f>
        <v>0</v>
      </c>
      <c r="H14" s="42">
        <f>利润与利润分配表!H11</f>
        <v>0</v>
      </c>
      <c r="I14" s="42">
        <f>利润与利润分配表!I11</f>
        <v>0</v>
      </c>
      <c r="J14" s="42">
        <f>利润与利润分配表!J11</f>
        <v>3.6893755011914164</v>
      </c>
      <c r="K14" s="42">
        <f>利润与利润分配表!K11</f>
        <v>3.3852430625989403</v>
      </c>
      <c r="L14" s="42">
        <f>利润与利润分配表!L11</f>
        <v>3.3692581793023031</v>
      </c>
      <c r="M14" s="42">
        <f>利润与利润分配表!M11</f>
        <v>3.3532732960056659</v>
      </c>
      <c r="N14" s="42">
        <f>利润与利润分配表!N11</f>
        <v>3.3372884127090288</v>
      </c>
      <c r="O14" s="42">
        <f>利润与利润分配表!O11</f>
        <v>3.3213035294123925</v>
      </c>
      <c r="P14" s="42">
        <f>利润与利润分配表!P11</f>
        <v>3.3053186461157553</v>
      </c>
      <c r="Q14" s="42">
        <f>利润与利润分配表!Q11</f>
        <v>3.2893337628191182</v>
      </c>
      <c r="R14" s="42">
        <f>利润与利润分配表!R11</f>
        <v>3.273348879522481</v>
      </c>
      <c r="S14" s="42">
        <f>利润与利润分配表!S11</f>
        <v>3.2573639962258447</v>
      </c>
      <c r="T14" s="42">
        <f>利润与利润分配表!T11</f>
        <v>3.2413791129292076</v>
      </c>
      <c r="U14" s="42">
        <f>利润与利润分配表!U11</f>
        <v>3.2253942296325704</v>
      </c>
      <c r="V14" s="42">
        <f>利润与利润分配表!V11</f>
        <v>3.2094093463359332</v>
      </c>
      <c r="W14" s="42">
        <f>利润与利润分配表!W11</f>
        <v>3.1934244630392961</v>
      </c>
      <c r="X14" s="42">
        <f>利润与利润分配表!X11</f>
        <v>3.1774395797426589</v>
      </c>
    </row>
    <row r="15" spans="1:24">
      <c r="A15" s="40" t="s">
        <v>102</v>
      </c>
      <c r="B15" s="40" t="s">
        <v>103</v>
      </c>
      <c r="C15" s="41">
        <f t="shared" si="5"/>
        <v>413.56794997985509</v>
      </c>
      <c r="D15" s="34">
        <f>D7*0.13-项目投资现金流量表!D8</f>
        <v>0</v>
      </c>
      <c r="E15" s="32">
        <f>E7*0.13-项目投资现金流量表!E8</f>
        <v>0</v>
      </c>
      <c r="F15" s="32">
        <f>F7*0.13-项目投资现金流量表!F8</f>
        <v>0</v>
      </c>
      <c r="G15" s="32">
        <f>G7*0.13-项目投资现金流量表!G8</f>
        <v>0</v>
      </c>
      <c r="H15" s="32">
        <f>H7*0.13-项目投资现金流量表!H8</f>
        <v>0</v>
      </c>
      <c r="I15" s="32">
        <f>I7*0.13-项目投资现金流量表!I8</f>
        <v>0</v>
      </c>
      <c r="J15" s="32">
        <f>J7*0.13-项目投资现金流量表!J8</f>
        <v>30.744795843261798</v>
      </c>
      <c r="K15" s="32">
        <f>K7*0.13-项目投资现金流量表!K8</f>
        <v>28.210358854991167</v>
      </c>
      <c r="L15" s="32">
        <f>L7*0.13-项目投资现金流量表!L8</f>
        <v>28.077151494185859</v>
      </c>
      <c r="M15" s="32">
        <f>M7*0.13-项目投资现金流量表!M8</f>
        <v>27.943944133380548</v>
      </c>
      <c r="N15" s="32">
        <f>N7*0.13-项目投资现金流量表!N8</f>
        <v>27.81073677257524</v>
      </c>
      <c r="O15" s="32">
        <f>O7*0.13-项目投资现金流量表!O8</f>
        <v>27.677529411769935</v>
      </c>
      <c r="P15" s="32">
        <f>P7*0.13-项目投资现金流量表!P8</f>
        <v>27.544322050964627</v>
      </c>
      <c r="Q15" s="32">
        <f>Q7*0.13-项目投资现金流量表!Q8</f>
        <v>27.411114690159316</v>
      </c>
      <c r="R15" s="32">
        <f>R7*0.13-项目投资现金流量表!R8</f>
        <v>27.277907329354008</v>
      </c>
      <c r="S15" s="32">
        <f>S7*0.13-项目投资现金流量表!S8</f>
        <v>27.144699968548704</v>
      </c>
      <c r="T15" s="32">
        <f>T7*0.13-项目投资现金流量表!T8</f>
        <v>27.011492607743392</v>
      </c>
      <c r="U15" s="32">
        <f>U7*0.13-项目投资现金流量表!U8</f>
        <v>26.878285246938084</v>
      </c>
      <c r="V15" s="32">
        <f>V7*0.13-项目投资现金流量表!V8</f>
        <v>26.745077886132773</v>
      </c>
      <c r="W15" s="32">
        <f>W7*0.13-项目投资现金流量表!W8</f>
        <v>26.611870525327465</v>
      </c>
      <c r="X15" s="32">
        <f>X7*0.13-项目投资现金流量表!X8</f>
        <v>26.478663164522157</v>
      </c>
    </row>
    <row r="16" spans="1:24">
      <c r="A16" s="40" t="s">
        <v>104</v>
      </c>
      <c r="B16" s="40" t="s">
        <v>62</v>
      </c>
      <c r="C16" s="41">
        <f t="shared" si="5"/>
        <v>297.49618426912161</v>
      </c>
      <c r="D16" s="55">
        <f>利润与利润分配表!D19</f>
        <v>0</v>
      </c>
      <c r="E16" s="41">
        <f>利润与利润分配表!E19</f>
        <v>0</v>
      </c>
      <c r="F16" s="41">
        <f>利润与利润分配表!F19</f>
        <v>0</v>
      </c>
      <c r="G16" s="41">
        <f>利润与利润分配表!G19</f>
        <v>0</v>
      </c>
      <c r="H16" s="41">
        <f>利润与利润分配表!H19</f>
        <v>7.70405531668872</v>
      </c>
      <c r="I16" s="41">
        <f>利润与利润分配表!I19</f>
        <v>8.2366651136627063</v>
      </c>
      <c r="J16" s="41">
        <f>利润与利润分配表!J19</f>
        <v>7.7879153899366109</v>
      </c>
      <c r="K16" s="41">
        <f>利润与利润分配表!K19</f>
        <v>16.717083483469303</v>
      </c>
      <c r="L16" s="41">
        <f>利润与利润分配表!L19</f>
        <v>17.786299298241431</v>
      </c>
      <c r="M16" s="41">
        <f>利润与利润分配表!M19</f>
        <v>18.855515113013546</v>
      </c>
      <c r="N16" s="41">
        <f>利润与利润分配表!N19</f>
        <v>19.924730927785674</v>
      </c>
      <c r="O16" s="41">
        <f>利润与利润分配表!O19</f>
        <v>20.993946742557799</v>
      </c>
      <c r="P16" s="41">
        <f>利润与利润分配表!P19</f>
        <v>20.78382345812993</v>
      </c>
      <c r="Q16" s="41">
        <f>利润与利润分配表!Q19</f>
        <v>20.573700173702044</v>
      </c>
      <c r="R16" s="41">
        <f>利润与利润分配表!R19</f>
        <v>20.363576889274174</v>
      </c>
      <c r="S16" s="41">
        <f>利润与利润分配表!S19</f>
        <v>20.153453604846298</v>
      </c>
      <c r="T16" s="41">
        <f>利润与利润分配表!T19</f>
        <v>19.943330320418426</v>
      </c>
      <c r="U16" s="41">
        <f>利润与利润分配表!U19</f>
        <v>19.733207035990549</v>
      </c>
      <c r="V16" s="41">
        <f>利润与利润分配表!V19</f>
        <v>19.523083751562659</v>
      </c>
      <c r="W16" s="41">
        <f>利润与利润分配表!W19</f>
        <v>19.312960467134793</v>
      </c>
      <c r="X16" s="41">
        <f>利润与利润分配表!X19</f>
        <v>19.10283718270691</v>
      </c>
    </row>
    <row r="17" spans="1:24">
      <c r="A17" s="40" t="s">
        <v>105</v>
      </c>
      <c r="B17" s="40" t="s">
        <v>106</v>
      </c>
      <c r="C17" s="40">
        <f t="shared" si="5"/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</row>
    <row r="18" spans="1:24">
      <c r="A18" s="40">
        <v>2</v>
      </c>
      <c r="B18" s="40" t="s">
        <v>107</v>
      </c>
      <c r="C18" s="41">
        <f>C19-C20</f>
        <v>-1526</v>
      </c>
      <c r="D18" s="41">
        <f t="shared" ref="D18:X18" si="6">D19-D20</f>
        <v>-1520</v>
      </c>
      <c r="E18" s="41">
        <f t="shared" si="6"/>
        <v>-6</v>
      </c>
      <c r="F18" s="54">
        <f t="shared" si="6"/>
        <v>0</v>
      </c>
      <c r="G18" s="54">
        <f t="shared" si="6"/>
        <v>0</v>
      </c>
      <c r="H18" s="54">
        <f t="shared" si="6"/>
        <v>0</v>
      </c>
      <c r="I18" s="54">
        <f t="shared" si="6"/>
        <v>0</v>
      </c>
      <c r="J18" s="54">
        <f t="shared" si="6"/>
        <v>0</v>
      </c>
      <c r="K18" s="54">
        <f t="shared" si="6"/>
        <v>0</v>
      </c>
      <c r="L18" s="54">
        <f t="shared" si="6"/>
        <v>0</v>
      </c>
      <c r="M18" s="54">
        <f t="shared" si="6"/>
        <v>0</v>
      </c>
      <c r="N18" s="54">
        <f t="shared" si="6"/>
        <v>0</v>
      </c>
      <c r="O18" s="54">
        <f t="shared" si="6"/>
        <v>0</v>
      </c>
      <c r="P18" s="54">
        <f t="shared" si="6"/>
        <v>0</v>
      </c>
      <c r="Q18" s="54">
        <f t="shared" si="6"/>
        <v>0</v>
      </c>
      <c r="R18" s="54">
        <f t="shared" si="6"/>
        <v>0</v>
      </c>
      <c r="S18" s="54">
        <f t="shared" si="6"/>
        <v>0</v>
      </c>
      <c r="T18" s="54">
        <f t="shared" si="6"/>
        <v>0</v>
      </c>
      <c r="U18" s="54">
        <f t="shared" si="6"/>
        <v>0</v>
      </c>
      <c r="V18" s="54">
        <f t="shared" si="6"/>
        <v>0</v>
      </c>
      <c r="W18" s="54">
        <f t="shared" si="6"/>
        <v>0</v>
      </c>
      <c r="X18" s="54">
        <f t="shared" si="6"/>
        <v>0</v>
      </c>
    </row>
    <row r="19" spans="1:24">
      <c r="A19" s="40">
        <v>2.1</v>
      </c>
      <c r="B19" s="40" t="s">
        <v>91</v>
      </c>
      <c r="C19" s="40">
        <f t="shared" ref="C19:C37" si="7">SUM(D19:X19)</f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</row>
    <row r="20" spans="1:24">
      <c r="A20" s="40">
        <v>2.2000000000000002</v>
      </c>
      <c r="B20" s="40" t="s">
        <v>99</v>
      </c>
      <c r="C20" s="41">
        <f t="shared" si="7"/>
        <v>1526</v>
      </c>
      <c r="D20" s="41">
        <f>D21+D22+D23</f>
        <v>1520</v>
      </c>
      <c r="E20" s="41">
        <f t="shared" ref="E20:X20" si="8">E21+E22+E23</f>
        <v>6</v>
      </c>
      <c r="F20" s="54">
        <f t="shared" si="8"/>
        <v>0</v>
      </c>
      <c r="G20" s="54">
        <f t="shared" si="8"/>
        <v>0</v>
      </c>
      <c r="H20" s="54">
        <f t="shared" si="8"/>
        <v>0</v>
      </c>
      <c r="I20" s="54">
        <f t="shared" si="8"/>
        <v>0</v>
      </c>
      <c r="J20" s="54">
        <f t="shared" si="8"/>
        <v>0</v>
      </c>
      <c r="K20" s="54">
        <f t="shared" si="8"/>
        <v>0</v>
      </c>
      <c r="L20" s="54">
        <f t="shared" si="8"/>
        <v>0</v>
      </c>
      <c r="M20" s="54">
        <f t="shared" si="8"/>
        <v>0</v>
      </c>
      <c r="N20" s="54">
        <f t="shared" si="8"/>
        <v>0</v>
      </c>
      <c r="O20" s="54">
        <f t="shared" si="8"/>
        <v>0</v>
      </c>
      <c r="P20" s="54">
        <f t="shared" si="8"/>
        <v>0</v>
      </c>
      <c r="Q20" s="54">
        <f t="shared" si="8"/>
        <v>0</v>
      </c>
      <c r="R20" s="54">
        <f t="shared" si="8"/>
        <v>0</v>
      </c>
      <c r="S20" s="54">
        <f t="shared" si="8"/>
        <v>0</v>
      </c>
      <c r="T20" s="54">
        <f t="shared" si="8"/>
        <v>0</v>
      </c>
      <c r="U20" s="54">
        <f t="shared" si="8"/>
        <v>0</v>
      </c>
      <c r="V20" s="54">
        <f t="shared" si="8"/>
        <v>0</v>
      </c>
      <c r="W20" s="54">
        <f t="shared" si="8"/>
        <v>0</v>
      </c>
      <c r="X20" s="54">
        <f t="shared" si="8"/>
        <v>0</v>
      </c>
    </row>
    <row r="21" spans="1:24">
      <c r="A21" s="40" t="s">
        <v>34</v>
      </c>
      <c r="B21" s="40" t="s">
        <v>31</v>
      </c>
      <c r="C21" s="41">
        <f t="shared" si="7"/>
        <v>1520</v>
      </c>
      <c r="D21" s="41">
        <f>总成本费用估算表!C3</f>
        <v>1520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</row>
    <row r="22" spans="1:24">
      <c r="A22" s="40" t="s">
        <v>36</v>
      </c>
      <c r="B22" s="40" t="s">
        <v>12</v>
      </c>
      <c r="C22" s="54">
        <f t="shared" si="7"/>
        <v>6</v>
      </c>
      <c r="D22" s="54">
        <v>0</v>
      </c>
      <c r="E22" s="41">
        <f>项目总投资资金筹措计划表!E8</f>
        <v>6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</row>
    <row r="23" spans="1:24">
      <c r="A23" s="40" t="s">
        <v>108</v>
      </c>
      <c r="B23" s="40" t="s">
        <v>106</v>
      </c>
      <c r="C23" s="41">
        <f t="shared" si="7"/>
        <v>0</v>
      </c>
      <c r="D23" s="54">
        <v>0</v>
      </c>
      <c r="E23" s="41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</row>
    <row r="24" spans="1:24">
      <c r="A24" s="40">
        <v>3</v>
      </c>
      <c r="B24" s="40" t="s">
        <v>109</v>
      </c>
      <c r="C24" s="41">
        <f t="shared" si="7"/>
        <v>14.044718175999979</v>
      </c>
      <c r="D24" s="41">
        <f>D25-D32</f>
        <v>1520</v>
      </c>
      <c r="E24" s="41">
        <f t="shared" ref="E24:X24" si="9">E25-E32</f>
        <v>-167.62786196799999</v>
      </c>
      <c r="F24" s="41">
        <f t="shared" si="9"/>
        <v>-168.51050557120001</v>
      </c>
      <c r="G24" s="41">
        <f t="shared" si="9"/>
        <v>-163.39314917440001</v>
      </c>
      <c r="H24" s="41">
        <f t="shared" si="9"/>
        <v>-158.2757927776</v>
      </c>
      <c r="I24" s="41">
        <f t="shared" si="9"/>
        <v>-153.1584363808</v>
      </c>
      <c r="J24" s="41">
        <f t="shared" si="9"/>
        <v>-148.04107998400002</v>
      </c>
      <c r="K24" s="41">
        <f t="shared" si="9"/>
        <v>-142.92372358720002</v>
      </c>
      <c r="L24" s="41">
        <f t="shared" si="9"/>
        <v>-137.80636719040001</v>
      </c>
      <c r="M24" s="41">
        <f t="shared" si="9"/>
        <v>-132.6890107936</v>
      </c>
      <c r="N24" s="41">
        <f t="shared" si="9"/>
        <v>-127.57165439680001</v>
      </c>
      <c r="O24" s="41">
        <f t="shared" si="9"/>
        <v>-0.17576999999999995</v>
      </c>
      <c r="P24" s="41">
        <f t="shared" si="9"/>
        <v>-0.17576999999999995</v>
      </c>
      <c r="Q24" s="41">
        <f t="shared" si="9"/>
        <v>-0.17576999999999995</v>
      </c>
      <c r="R24" s="41">
        <f t="shared" si="9"/>
        <v>-0.17576999999999995</v>
      </c>
      <c r="S24" s="41">
        <f t="shared" si="9"/>
        <v>-0.17576999999999995</v>
      </c>
      <c r="T24" s="41">
        <f t="shared" si="9"/>
        <v>-0.17576999999999995</v>
      </c>
      <c r="U24" s="41">
        <f t="shared" si="9"/>
        <v>-0.17576999999999995</v>
      </c>
      <c r="V24" s="41">
        <f t="shared" si="9"/>
        <v>-0.17576999999999995</v>
      </c>
      <c r="W24" s="41">
        <f t="shared" si="9"/>
        <v>-0.17576999999999995</v>
      </c>
      <c r="X24" s="41">
        <f t="shared" si="9"/>
        <v>-4.3757699999999993</v>
      </c>
    </row>
    <row r="25" spans="1:24">
      <c r="A25" s="40">
        <v>3.1</v>
      </c>
      <c r="B25" s="40" t="s">
        <v>91</v>
      </c>
      <c r="C25" s="41">
        <f t="shared" si="7"/>
        <v>1526</v>
      </c>
      <c r="D25" s="41">
        <f>D26+D27+D28+D29+D30+D31</f>
        <v>1520</v>
      </c>
      <c r="E25" s="41">
        <f t="shared" ref="E25:X25" si="10">E26+E27+E28+E29+E30+E31</f>
        <v>6</v>
      </c>
      <c r="F25" s="55">
        <f t="shared" si="10"/>
        <v>0</v>
      </c>
      <c r="G25" s="55">
        <f t="shared" si="10"/>
        <v>0</v>
      </c>
      <c r="H25" s="55">
        <f t="shared" si="10"/>
        <v>0</v>
      </c>
      <c r="I25" s="55">
        <f t="shared" si="10"/>
        <v>0</v>
      </c>
      <c r="J25" s="55">
        <f t="shared" si="10"/>
        <v>0</v>
      </c>
      <c r="K25" s="55">
        <f t="shared" si="10"/>
        <v>0</v>
      </c>
      <c r="L25" s="55">
        <f t="shared" si="10"/>
        <v>0</v>
      </c>
      <c r="M25" s="55">
        <f t="shared" si="10"/>
        <v>0</v>
      </c>
      <c r="N25" s="55">
        <f t="shared" si="10"/>
        <v>0</v>
      </c>
      <c r="O25" s="55">
        <f t="shared" si="10"/>
        <v>0</v>
      </c>
      <c r="P25" s="55">
        <f t="shared" si="10"/>
        <v>0</v>
      </c>
      <c r="Q25" s="55">
        <f t="shared" si="10"/>
        <v>0</v>
      </c>
      <c r="R25" s="55">
        <f t="shared" si="10"/>
        <v>0</v>
      </c>
      <c r="S25" s="55">
        <f t="shared" si="10"/>
        <v>0</v>
      </c>
      <c r="T25" s="55">
        <f t="shared" si="10"/>
        <v>0</v>
      </c>
      <c r="U25" s="55">
        <f t="shared" si="10"/>
        <v>0</v>
      </c>
      <c r="V25" s="55">
        <f t="shared" si="10"/>
        <v>0</v>
      </c>
      <c r="W25" s="55">
        <f t="shared" si="10"/>
        <v>0</v>
      </c>
      <c r="X25" s="55">
        <f t="shared" si="10"/>
        <v>0</v>
      </c>
    </row>
    <row r="26" spans="1:24">
      <c r="A26" s="40" t="s">
        <v>110</v>
      </c>
      <c r="B26" s="40" t="s">
        <v>111</v>
      </c>
      <c r="C26" s="41">
        <f t="shared" si="7"/>
        <v>307.49632000000003</v>
      </c>
      <c r="D26" s="41">
        <f>项目总投资资金筹措计划表!D10</f>
        <v>305.69632000000001</v>
      </c>
      <c r="E26" s="41">
        <f>项目总投资资金筹措计划表!E10</f>
        <v>1.8000000000000003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</row>
    <row r="27" spans="1:24">
      <c r="A27" s="40" t="s">
        <v>112</v>
      </c>
      <c r="B27" s="40" t="s">
        <v>113</v>
      </c>
      <c r="C27" s="41">
        <f t="shared" si="7"/>
        <v>1214.30368</v>
      </c>
      <c r="D27" s="41">
        <f>项目总投资资金筹措计划表!D15</f>
        <v>1214.30368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</row>
    <row r="28" spans="1:24">
      <c r="A28" s="40" t="s">
        <v>114</v>
      </c>
      <c r="B28" s="40" t="s">
        <v>37</v>
      </c>
      <c r="C28" s="54">
        <f t="shared" si="7"/>
        <v>4.1999999999999993</v>
      </c>
      <c r="D28" s="54">
        <v>0</v>
      </c>
      <c r="E28" s="41">
        <f>项目总投资资金筹措计划表!E17</f>
        <v>4.1999999999999993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</row>
    <row r="29" spans="1:24">
      <c r="A29" s="40" t="s">
        <v>115</v>
      </c>
      <c r="B29" s="40" t="s">
        <v>116</v>
      </c>
      <c r="C29" s="54">
        <f t="shared" si="7"/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</row>
    <row r="30" spans="1:24">
      <c r="A30" s="40" t="s">
        <v>117</v>
      </c>
      <c r="B30" s="40" t="s">
        <v>84</v>
      </c>
      <c r="C30" s="54">
        <f t="shared" si="7"/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</row>
    <row r="31" spans="1:24">
      <c r="A31" s="40" t="s">
        <v>118</v>
      </c>
      <c r="B31" s="40" t="s">
        <v>98</v>
      </c>
      <c r="C31" s="54">
        <f t="shared" si="7"/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</row>
    <row r="32" spans="1:24">
      <c r="A32" s="40">
        <v>3.2</v>
      </c>
      <c r="B32" s="40" t="s">
        <v>99</v>
      </c>
      <c r="C32" s="54">
        <f t="shared" si="7"/>
        <v>1511.9552818240011</v>
      </c>
      <c r="D32" s="54">
        <f>D33+D34+D35+D36</f>
        <v>0</v>
      </c>
      <c r="E32" s="41">
        <f t="shared" ref="E32:X32" si="11">E33+E34+E35+E36</f>
        <v>173.62786196799999</v>
      </c>
      <c r="F32" s="41">
        <f t="shared" si="11"/>
        <v>168.51050557120001</v>
      </c>
      <c r="G32" s="41">
        <f t="shared" si="11"/>
        <v>163.39314917440001</v>
      </c>
      <c r="H32" s="41">
        <f t="shared" si="11"/>
        <v>158.2757927776</v>
      </c>
      <c r="I32" s="41">
        <f t="shared" si="11"/>
        <v>153.1584363808</v>
      </c>
      <c r="J32" s="41">
        <f t="shared" si="11"/>
        <v>148.04107998400002</v>
      </c>
      <c r="K32" s="41">
        <f t="shared" si="11"/>
        <v>142.92372358720002</v>
      </c>
      <c r="L32" s="41">
        <f t="shared" si="11"/>
        <v>137.80636719040001</v>
      </c>
      <c r="M32" s="41">
        <f t="shared" si="11"/>
        <v>132.6890107936</v>
      </c>
      <c r="N32" s="41">
        <f t="shared" si="11"/>
        <v>127.57165439680001</v>
      </c>
      <c r="O32" s="41">
        <f t="shared" si="11"/>
        <v>0.17576999999999995</v>
      </c>
      <c r="P32" s="41">
        <f t="shared" si="11"/>
        <v>0.17576999999999995</v>
      </c>
      <c r="Q32" s="41">
        <f t="shared" si="11"/>
        <v>0.17576999999999995</v>
      </c>
      <c r="R32" s="41">
        <f t="shared" si="11"/>
        <v>0.17576999999999995</v>
      </c>
      <c r="S32" s="41">
        <f t="shared" si="11"/>
        <v>0.17576999999999995</v>
      </c>
      <c r="T32" s="41">
        <f t="shared" si="11"/>
        <v>0.17576999999999995</v>
      </c>
      <c r="U32" s="41">
        <f t="shared" si="11"/>
        <v>0.17576999999999995</v>
      </c>
      <c r="V32" s="41">
        <f t="shared" si="11"/>
        <v>0.17576999999999995</v>
      </c>
      <c r="W32" s="41">
        <f t="shared" si="11"/>
        <v>0.17576999999999995</v>
      </c>
      <c r="X32" s="41">
        <f t="shared" si="11"/>
        <v>4.3757699999999993</v>
      </c>
    </row>
    <row r="33" spans="1:24">
      <c r="A33" s="40" t="s">
        <v>119</v>
      </c>
      <c r="B33" s="40" t="s">
        <v>120</v>
      </c>
      <c r="C33" s="41">
        <f t="shared" si="7"/>
        <v>284.97000182400001</v>
      </c>
      <c r="D33" s="54">
        <f>借款还本付息计划表!D9+借款还本付息计划表!D13</f>
        <v>0</v>
      </c>
      <c r="E33" s="41">
        <f>借款还本付息计划表!E9+借款还本付息计划表!E13</f>
        <v>51.349333967999996</v>
      </c>
      <c r="F33" s="41">
        <f>借款还本付息计划表!F9+借款还本付息计划表!F13</f>
        <v>46.231977571200005</v>
      </c>
      <c r="G33" s="41">
        <f>借款还本付息计划表!G9+借款还本付息计划表!G13</f>
        <v>41.1146211744</v>
      </c>
      <c r="H33" s="41">
        <f>借款还本付息计划表!H9+借款还本付息计划表!H13</f>
        <v>35.997264777600002</v>
      </c>
      <c r="I33" s="41">
        <f>借款还本付息计划表!I9+借款还本付息计划表!I13</f>
        <v>30.8799083808</v>
      </c>
      <c r="J33" s="41">
        <f>借款还本付息计划表!J9+借款还本付息计划表!J13</f>
        <v>25.762551983999998</v>
      </c>
      <c r="K33" s="41">
        <f>借款还本付息计划表!K9+借款还本付息计划表!K13</f>
        <v>20.6451955872</v>
      </c>
      <c r="L33" s="41">
        <f>借款还本付息计划表!L9+借款还本付息计划表!L13</f>
        <v>15.5278391904</v>
      </c>
      <c r="M33" s="41">
        <f>借款还本付息计划表!M9+借款还本付息计划表!M13</f>
        <v>10.4104827936</v>
      </c>
      <c r="N33" s="41">
        <f>借款还本付息计划表!N9+借款还本付息计划表!N13</f>
        <v>5.2931263968000017</v>
      </c>
      <c r="O33" s="41">
        <f>借款还本付息计划表!O9+借款还本付息计划表!O13</f>
        <v>0.17576999999999995</v>
      </c>
      <c r="P33" s="41">
        <f>借款还本付息计划表!P9+借款还本付息计划表!P13</f>
        <v>0.17576999999999995</v>
      </c>
      <c r="Q33" s="41">
        <f>借款还本付息计划表!Q9+借款还本付息计划表!Q13</f>
        <v>0.17576999999999995</v>
      </c>
      <c r="R33" s="41">
        <f>借款还本付息计划表!R9+借款还本付息计划表!R13</f>
        <v>0.17576999999999995</v>
      </c>
      <c r="S33" s="41">
        <f>借款还本付息计划表!S9+借款还本付息计划表!S13</f>
        <v>0.17576999999999995</v>
      </c>
      <c r="T33" s="41">
        <f>借款还本付息计划表!T9+借款还本付息计划表!T13</f>
        <v>0.17576999999999995</v>
      </c>
      <c r="U33" s="41">
        <f>借款还本付息计划表!U9+借款还本付息计划表!U13</f>
        <v>0.17576999999999995</v>
      </c>
      <c r="V33" s="41">
        <f>借款还本付息计划表!V9+借款还本付息计划表!V13</f>
        <v>0.17576999999999995</v>
      </c>
      <c r="W33" s="41">
        <f>借款还本付息计划表!W9+借款还本付息计划表!W13</f>
        <v>0.17576999999999995</v>
      </c>
      <c r="X33" s="41">
        <f>借款还本付息计划表!X9+借款还本付息计划表!X13</f>
        <v>0.17576999999999995</v>
      </c>
    </row>
    <row r="34" spans="1:24">
      <c r="A34" s="40" t="s">
        <v>121</v>
      </c>
      <c r="B34" s="40" t="s">
        <v>122</v>
      </c>
      <c r="C34" s="41">
        <f t="shared" si="7"/>
        <v>1226.9852800000003</v>
      </c>
      <c r="D34" s="54">
        <f>借款还本付息计划表!D8+借款还本付息计划表!D14</f>
        <v>0</v>
      </c>
      <c r="E34" s="41">
        <f>借款还本付息计划表!E8+借款还本付息计划表!E14</f>
        <v>122.27852800000001</v>
      </c>
      <c r="F34" s="41">
        <f>借款还本付息计划表!F8+借款还本付息计划表!F14</f>
        <v>122.27852800000001</v>
      </c>
      <c r="G34" s="41">
        <f>借款还本付息计划表!G8+借款还本付息计划表!G14</f>
        <v>122.27852800000001</v>
      </c>
      <c r="H34" s="41">
        <f>借款还本付息计划表!H8+借款还本付息计划表!H14</f>
        <v>122.27852800000001</v>
      </c>
      <c r="I34" s="41">
        <f>借款还本付息计划表!I8+借款还本付息计划表!I14</f>
        <v>122.27852800000001</v>
      </c>
      <c r="J34" s="41">
        <f>借款还本付息计划表!J8+借款还本付息计划表!J14</f>
        <v>122.27852800000001</v>
      </c>
      <c r="K34" s="41">
        <f>借款还本付息计划表!K8+借款还本付息计划表!K14</f>
        <v>122.27852800000001</v>
      </c>
      <c r="L34" s="41">
        <f>借款还本付息计划表!L8+借款还本付息计划表!L14</f>
        <v>122.27852800000001</v>
      </c>
      <c r="M34" s="41">
        <f>借款还本付息计划表!M8+借款还本付息计划表!M14</f>
        <v>122.27852800000001</v>
      </c>
      <c r="N34" s="41">
        <f>借款还本付息计划表!N8+借款还本付息计划表!N14</f>
        <v>122.27852800000001</v>
      </c>
      <c r="O34" s="54">
        <f>借款还本付息计划表!O8+借款还本付息计划表!O14</f>
        <v>0</v>
      </c>
      <c r="P34" s="54">
        <f>借款还本付息计划表!P8+借款还本付息计划表!P14</f>
        <v>0</v>
      </c>
      <c r="Q34" s="54">
        <f>借款还本付息计划表!Q8+借款还本付息计划表!Q14</f>
        <v>0</v>
      </c>
      <c r="R34" s="54">
        <f>借款还本付息计划表!R8+借款还本付息计划表!R14</f>
        <v>0</v>
      </c>
      <c r="S34" s="54">
        <f>借款还本付息计划表!S8+借款还本付息计划表!S14</f>
        <v>0</v>
      </c>
      <c r="T34" s="54">
        <f>借款还本付息计划表!T8+借款还本付息计划表!T14</f>
        <v>0</v>
      </c>
      <c r="U34" s="54">
        <f>借款还本付息计划表!U8+借款还本付息计划表!U14</f>
        <v>0</v>
      </c>
      <c r="V34" s="54">
        <f>借款还本付息计划表!V8+借款还本付息计划表!V14</f>
        <v>0</v>
      </c>
      <c r="W34" s="54">
        <f>借款还本付息计划表!W8+借款还本付息计划表!W14</f>
        <v>0</v>
      </c>
      <c r="X34" s="41">
        <f>借款还本付息计划表!X8+借款还本付息计划表!X14</f>
        <v>4.1999999999999993</v>
      </c>
    </row>
    <row r="35" spans="1:24">
      <c r="A35" s="40" t="s">
        <v>123</v>
      </c>
      <c r="B35" s="40" t="s">
        <v>124</v>
      </c>
      <c r="C35" s="54">
        <f t="shared" si="7"/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</row>
    <row r="36" spans="1:24">
      <c r="A36" s="40" t="s">
        <v>125</v>
      </c>
      <c r="B36" s="40" t="s">
        <v>106</v>
      </c>
      <c r="C36" s="54">
        <f t="shared" si="7"/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</row>
    <row r="37" spans="1:24">
      <c r="A37" s="40">
        <v>4</v>
      </c>
      <c r="B37" s="40" t="s">
        <v>126</v>
      </c>
      <c r="C37" s="41">
        <f t="shared" si="7"/>
        <v>1406.6164667902026</v>
      </c>
      <c r="D37" s="54">
        <f>D5+D18+D24</f>
        <v>0</v>
      </c>
      <c r="E37" s="41">
        <f t="shared" ref="E37:X37" si="12">E5+E18+E24</f>
        <v>22.858476500572777</v>
      </c>
      <c r="F37" s="41">
        <f t="shared" si="12"/>
        <v>26.986147515559253</v>
      </c>
      <c r="G37" s="41">
        <f t="shared" si="12"/>
        <v>31.113818530545899</v>
      </c>
      <c r="H37" s="41">
        <f t="shared" si="12"/>
        <v>27.537434228843694</v>
      </c>
      <c r="I37" s="41">
        <f t="shared" si="12"/>
        <v>31.132495446856268</v>
      </c>
      <c r="J37" s="41">
        <f t="shared" si="12"/>
        <v>-2.8867558232935266</v>
      </c>
      <c r="K37" s="41">
        <f t="shared" si="12"/>
        <v>-4.8496834749765299</v>
      </c>
      <c r="L37" s="41">
        <f t="shared" si="12"/>
        <v>-1.6420360306601367</v>
      </c>
      <c r="M37" s="41">
        <f t="shared" si="12"/>
        <v>1.5656114136561712</v>
      </c>
      <c r="N37" s="41">
        <f t="shared" si="12"/>
        <v>4.7732588579725501</v>
      </c>
      <c r="O37" s="41">
        <f t="shared" si="12"/>
        <v>130.25943430228898</v>
      </c>
      <c r="P37" s="41">
        <f t="shared" si="12"/>
        <v>129.62906444900534</v>
      </c>
      <c r="Q37" s="41">
        <f t="shared" si="12"/>
        <v>128.99869459572167</v>
      </c>
      <c r="R37" s="41">
        <f t="shared" si="12"/>
        <v>128.36832474243806</v>
      </c>
      <c r="S37" s="41">
        <f t="shared" si="12"/>
        <v>127.73795488915445</v>
      </c>
      <c r="T37" s="41">
        <f t="shared" si="12"/>
        <v>127.1075850358708</v>
      </c>
      <c r="U37" s="41">
        <f t="shared" si="12"/>
        <v>126.4772151825872</v>
      </c>
      <c r="V37" s="41">
        <f t="shared" si="12"/>
        <v>125.84684532930356</v>
      </c>
      <c r="W37" s="41">
        <f t="shared" si="12"/>
        <v>125.21647547601995</v>
      </c>
      <c r="X37" s="41">
        <f t="shared" si="12"/>
        <v>120.38610562273628</v>
      </c>
    </row>
    <row r="38" spans="1:24">
      <c r="A38" s="40">
        <v>5</v>
      </c>
      <c r="B38" s="40" t="s">
        <v>127</v>
      </c>
      <c r="C38" s="40"/>
      <c r="D38" s="54">
        <v>0</v>
      </c>
      <c r="E38" s="41">
        <f t="shared" ref="E38:X38" si="13">D38+E37</f>
        <v>22.858476500572777</v>
      </c>
      <c r="F38" s="41">
        <f t="shared" si="13"/>
        <v>49.84462401613203</v>
      </c>
      <c r="G38" s="41">
        <f t="shared" si="13"/>
        <v>80.958442546677929</v>
      </c>
      <c r="H38" s="41">
        <f t="shared" si="13"/>
        <v>108.49587677552162</v>
      </c>
      <c r="I38" s="41">
        <f t="shared" si="13"/>
        <v>139.62837222237789</v>
      </c>
      <c r="J38" s="41">
        <f t="shared" si="13"/>
        <v>136.74161639908436</v>
      </c>
      <c r="K38" s="41">
        <f t="shared" si="13"/>
        <v>131.89193292410783</v>
      </c>
      <c r="L38" s="41">
        <f t="shared" si="13"/>
        <v>130.2498968934477</v>
      </c>
      <c r="M38" s="41">
        <f t="shared" si="13"/>
        <v>131.81550830710387</v>
      </c>
      <c r="N38" s="41">
        <f t="shared" si="13"/>
        <v>136.58876716507643</v>
      </c>
      <c r="O38" s="41">
        <f t="shared" si="13"/>
        <v>266.84820146736541</v>
      </c>
      <c r="P38" s="41">
        <f t="shared" si="13"/>
        <v>396.47726591637075</v>
      </c>
      <c r="Q38" s="41">
        <f t="shared" si="13"/>
        <v>525.47596051209246</v>
      </c>
      <c r="R38" s="41">
        <f t="shared" si="13"/>
        <v>653.84428525453052</v>
      </c>
      <c r="S38" s="41">
        <f t="shared" si="13"/>
        <v>781.582240143685</v>
      </c>
      <c r="T38" s="41">
        <f t="shared" si="13"/>
        <v>908.68982517955578</v>
      </c>
      <c r="U38" s="41">
        <f t="shared" si="13"/>
        <v>1035.1670403621429</v>
      </c>
      <c r="V38" s="41">
        <f t="shared" si="13"/>
        <v>1161.0138856914464</v>
      </c>
      <c r="W38" s="41">
        <f t="shared" si="13"/>
        <v>1286.2303611674663</v>
      </c>
      <c r="X38" s="41">
        <f t="shared" si="13"/>
        <v>1406.6164667902026</v>
      </c>
    </row>
  </sheetData>
  <sheetProtection password="C6BB" sheet="1" objects="1" scenarios="1"/>
  <mergeCells count="6">
    <mergeCell ref="A1:X2"/>
    <mergeCell ref="A3:A4"/>
    <mergeCell ref="B3:B4"/>
    <mergeCell ref="C3:C4"/>
    <mergeCell ref="E3:M3"/>
    <mergeCell ref="N3:X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3"/>
  <sheetViews>
    <sheetView zoomScale="80" zoomScaleNormal="80" workbookViewId="0">
      <selection activeCell="L30" sqref="L30"/>
    </sheetView>
  </sheetViews>
  <sheetFormatPr defaultRowHeight="13.5"/>
  <cols>
    <col min="1" max="1" width="6.75" customWidth="1"/>
    <col min="2" max="2" width="21.375" customWidth="1"/>
    <col min="3" max="3" width="11.375" bestFit="1" customWidth="1"/>
    <col min="4" max="4" width="13" customWidth="1"/>
    <col min="5" max="5" width="11.625" bestFit="1" customWidth="1"/>
    <col min="6" max="7" width="11.375" bestFit="1" customWidth="1"/>
    <col min="8" max="8" width="12.5" bestFit="1" customWidth="1"/>
    <col min="9" max="9" width="11.375" bestFit="1" customWidth="1"/>
    <col min="10" max="24" width="12.5" bestFit="1" customWidth="1"/>
  </cols>
  <sheetData>
    <row r="1" spans="1:24" ht="13.5" customHeight="1">
      <c r="A1" s="92" t="s">
        <v>289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13.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20.25" customHeight="1">
      <c r="A3" s="91" t="s">
        <v>0</v>
      </c>
      <c r="B3" s="91" t="s">
        <v>11</v>
      </c>
      <c r="C3" s="91" t="s">
        <v>30</v>
      </c>
      <c r="D3" s="39" t="s">
        <v>38</v>
      </c>
      <c r="E3" s="91" t="s">
        <v>39</v>
      </c>
      <c r="F3" s="91"/>
      <c r="G3" s="91"/>
      <c r="H3" s="91"/>
      <c r="I3" s="91"/>
      <c r="J3" s="91"/>
      <c r="K3" s="91"/>
      <c r="L3" s="91"/>
      <c r="M3" s="91"/>
      <c r="N3" s="91" t="s">
        <v>39</v>
      </c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ht="20.25" customHeight="1">
      <c r="A4" s="91"/>
      <c r="B4" s="91"/>
      <c r="C4" s="91"/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39" t="s">
        <v>45</v>
      </c>
      <c r="J4" s="39" t="s">
        <v>46</v>
      </c>
      <c r="K4" s="39" t="s">
        <v>47</v>
      </c>
      <c r="L4" s="39" t="s">
        <v>48</v>
      </c>
      <c r="M4" s="39" t="s">
        <v>49</v>
      </c>
      <c r="N4" s="39" t="s">
        <v>244</v>
      </c>
      <c r="O4" s="39" t="s">
        <v>245</v>
      </c>
      <c r="P4" s="39" t="s">
        <v>246</v>
      </c>
      <c r="Q4" s="39" t="s">
        <v>247</v>
      </c>
      <c r="R4" s="39" t="s">
        <v>248</v>
      </c>
      <c r="S4" s="39" t="s">
        <v>249</v>
      </c>
      <c r="T4" s="39" t="s">
        <v>250</v>
      </c>
      <c r="U4" s="39" t="s">
        <v>251</v>
      </c>
      <c r="V4" s="39" t="s">
        <v>252</v>
      </c>
      <c r="W4" s="39" t="s">
        <v>253</v>
      </c>
      <c r="X4" s="39" t="s">
        <v>254</v>
      </c>
    </row>
    <row r="5" spans="1:24" ht="20.25" customHeight="1">
      <c r="A5" s="40">
        <v>1</v>
      </c>
      <c r="B5" s="40" t="s">
        <v>91</v>
      </c>
      <c r="C5" s="41">
        <f>SUM(D5:X5)</f>
        <v>4457.2578865342412</v>
      </c>
      <c r="D5" s="41">
        <f>D6+D7+D8+D9+D10</f>
        <v>0</v>
      </c>
      <c r="E5" s="41">
        <f t="shared" ref="E5:X5" si="0">E6+E7+E8+E9+E10</f>
        <v>252.16039548000003</v>
      </c>
      <c r="F5" s="41">
        <f t="shared" si="0"/>
        <v>251.00251611300001</v>
      </c>
      <c r="G5" s="41">
        <f t="shared" si="0"/>
        <v>249.84463674600011</v>
      </c>
      <c r="H5" s="41">
        <f t="shared" si="0"/>
        <v>248.68675737900008</v>
      </c>
      <c r="I5" s="41">
        <f t="shared" si="0"/>
        <v>247.52887801200009</v>
      </c>
      <c r="J5" s="41">
        <f t="shared" si="0"/>
        <v>215.62620280173834</v>
      </c>
      <c r="K5" s="41">
        <f t="shared" si="0"/>
        <v>217.00276042300897</v>
      </c>
      <c r="L5" s="41">
        <f t="shared" si="0"/>
        <v>215.9780884168143</v>
      </c>
      <c r="M5" s="41">
        <f t="shared" si="0"/>
        <v>214.95341641061958</v>
      </c>
      <c r="N5" s="41">
        <f t="shared" si="0"/>
        <v>213.92874440442492</v>
      </c>
      <c r="O5" s="41">
        <f t="shared" si="0"/>
        <v>212.90407239823026</v>
      </c>
      <c r="P5" s="41">
        <f t="shared" si="0"/>
        <v>211.87940039203559</v>
      </c>
      <c r="Q5" s="41">
        <f t="shared" si="0"/>
        <v>210.85472838584087</v>
      </c>
      <c r="R5" s="41">
        <f t="shared" si="0"/>
        <v>209.83005637964621</v>
      </c>
      <c r="S5" s="41">
        <f t="shared" si="0"/>
        <v>208.80538437345155</v>
      </c>
      <c r="T5" s="41">
        <f t="shared" si="0"/>
        <v>207.78071236725685</v>
      </c>
      <c r="U5" s="41">
        <f t="shared" si="0"/>
        <v>206.75604036106219</v>
      </c>
      <c r="V5" s="41">
        <f t="shared" si="0"/>
        <v>205.73136835486747</v>
      </c>
      <c r="W5" s="41">
        <f t="shared" si="0"/>
        <v>204.70669634867281</v>
      </c>
      <c r="X5" s="41">
        <f t="shared" si="0"/>
        <v>251.29703098657023</v>
      </c>
    </row>
    <row r="6" spans="1:24" ht="20.25" customHeight="1">
      <c r="A6" s="40">
        <v>1.1000000000000001</v>
      </c>
      <c r="B6" s="40" t="s">
        <v>54</v>
      </c>
      <c r="C6" s="41">
        <f>SUM(D6:X6)</f>
        <v>4268.3281680265509</v>
      </c>
      <c r="D6" s="40">
        <v>0</v>
      </c>
      <c r="E6" s="41">
        <f>利润与利润分配表!E10</f>
        <v>223.15079246017703</v>
      </c>
      <c r="F6" s="41">
        <f>利润与利润分配表!F10</f>
        <v>222.12612045398231</v>
      </c>
      <c r="G6" s="41">
        <f>利润与利润分配表!G10</f>
        <v>221.1014484477877</v>
      </c>
      <c r="H6" s="41">
        <f>利润与利润分配表!H10</f>
        <v>220.07677644159298</v>
      </c>
      <c r="I6" s="41">
        <f>利润与利润分配表!I10</f>
        <v>219.05210443539832</v>
      </c>
      <c r="J6" s="41">
        <f>利润与利润分配表!J10</f>
        <v>218.02743242920366</v>
      </c>
      <c r="K6" s="41">
        <f>利润与利润分配表!K10</f>
        <v>217.00276042300897</v>
      </c>
      <c r="L6" s="41">
        <f>利润与利润分配表!L10</f>
        <v>215.9780884168143</v>
      </c>
      <c r="M6" s="41">
        <f>利润与利润分配表!M10</f>
        <v>214.95341641061958</v>
      </c>
      <c r="N6" s="41">
        <f>利润与利润分配表!N10</f>
        <v>213.92874440442492</v>
      </c>
      <c r="O6" s="41">
        <f>利润与利润分配表!O10</f>
        <v>212.90407239823026</v>
      </c>
      <c r="P6" s="41">
        <f>利润与利润分配表!P10</f>
        <v>211.87940039203559</v>
      </c>
      <c r="Q6" s="41">
        <f>利润与利润分配表!Q10</f>
        <v>210.85472838584087</v>
      </c>
      <c r="R6" s="41">
        <f>利润与利润分配表!R10</f>
        <v>209.83005637964621</v>
      </c>
      <c r="S6" s="41">
        <f>利润与利润分配表!S10</f>
        <v>208.80538437345155</v>
      </c>
      <c r="T6" s="41">
        <f>利润与利润分配表!T10</f>
        <v>207.78071236725685</v>
      </c>
      <c r="U6" s="41">
        <f>利润与利润分配表!U10</f>
        <v>206.75604036106219</v>
      </c>
      <c r="V6" s="41">
        <f>利润与利润分配表!V10</f>
        <v>205.73136835486747</v>
      </c>
      <c r="W6" s="41">
        <f>利润与利润分配表!W10</f>
        <v>204.70669634867281</v>
      </c>
      <c r="X6" s="41">
        <f>利润与利润分配表!X10</f>
        <v>203.68202434247812</v>
      </c>
    </row>
    <row r="7" spans="1:24" ht="20.25" customHeight="1">
      <c r="A7" s="40">
        <v>1.2</v>
      </c>
      <c r="B7" s="40" t="s">
        <v>128</v>
      </c>
      <c r="C7" s="40">
        <f>SUM(D7:X7)</f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</row>
    <row r="8" spans="1:24" ht="20.25" customHeight="1">
      <c r="A8" s="40">
        <v>1.3</v>
      </c>
      <c r="B8" s="40" t="s">
        <v>129</v>
      </c>
      <c r="C8" s="41">
        <f>总成本费用估算表!F3</f>
        <v>141.31471186359667</v>
      </c>
      <c r="D8" s="40">
        <v>0</v>
      </c>
      <c r="E8" s="41">
        <f>E6*0.13</f>
        <v>29.009603019823015</v>
      </c>
      <c r="F8" s="41">
        <f>F6*0.13</f>
        <v>28.8763956590177</v>
      </c>
      <c r="G8" s="41">
        <f>G6*0.13</f>
        <v>28.743188298212402</v>
      </c>
      <c r="H8" s="41">
        <f>H6*0.13</f>
        <v>28.609980937407087</v>
      </c>
      <c r="I8" s="41">
        <f>I6*0.13</f>
        <v>28.476773576601783</v>
      </c>
      <c r="J8" s="41">
        <f>C8-E8-F8-G8-H8-I8</f>
        <v>-2.4012296274653231</v>
      </c>
      <c r="K8" s="41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</row>
    <row r="9" spans="1:24" ht="20.25" customHeight="1">
      <c r="A9" s="40">
        <v>1.4</v>
      </c>
      <c r="B9" s="40" t="s">
        <v>130</v>
      </c>
      <c r="C9" s="41">
        <f>SUM(D9:X9)</f>
        <v>41.615006644092105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1">
        <f>总成本费用估算表!H4</f>
        <v>41.615006644092105</v>
      </c>
    </row>
    <row r="10" spans="1:24" ht="20.25" customHeight="1">
      <c r="A10" s="40">
        <v>1.5</v>
      </c>
      <c r="B10" s="40" t="s">
        <v>131</v>
      </c>
      <c r="C10" s="41">
        <f>SUM(D10:X10)</f>
        <v>6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1">
        <f>项目总投资资金筹措计划表!C8</f>
        <v>6</v>
      </c>
    </row>
    <row r="11" spans="1:24" ht="20.25" customHeight="1">
      <c r="A11" s="40">
        <v>2</v>
      </c>
      <c r="B11" s="40" t="s">
        <v>99</v>
      </c>
      <c r="C11" s="41">
        <f>C12+C13+C14+C15</f>
        <v>2719.574947006824</v>
      </c>
      <c r="D11" s="41">
        <f t="shared" ref="D11:X11" si="1">D12+D13+D14+D15</f>
        <v>1520</v>
      </c>
      <c r="E11" s="41">
        <f t="shared" si="1"/>
        <v>61.674057011427273</v>
      </c>
      <c r="F11" s="41">
        <f t="shared" si="1"/>
        <v>55.505863026240739</v>
      </c>
      <c r="G11" s="41">
        <f t="shared" si="1"/>
        <v>55.337669041054198</v>
      </c>
      <c r="H11" s="41">
        <f t="shared" si="1"/>
        <v>55.169475055867657</v>
      </c>
      <c r="I11" s="41">
        <f t="shared" si="1"/>
        <v>55.001281070681124</v>
      </c>
      <c r="J11" s="41">
        <f t="shared" si="1"/>
        <v>62.683963251095207</v>
      </c>
      <c r="K11" s="41">
        <f t="shared" si="1"/>
        <v>62.211636827316191</v>
      </c>
      <c r="L11" s="41">
        <f t="shared" si="1"/>
        <v>62.027457958833011</v>
      </c>
      <c r="M11" s="41">
        <f t="shared" si="1"/>
        <v>61.843279090349846</v>
      </c>
      <c r="N11" s="41">
        <f t="shared" si="1"/>
        <v>61.659100221866666</v>
      </c>
      <c r="O11" s="41">
        <f t="shared" si="1"/>
        <v>61.474921353383486</v>
      </c>
      <c r="P11" s="41">
        <f t="shared" si="1"/>
        <v>61.290742484900321</v>
      </c>
      <c r="Q11" s="41">
        <f t="shared" si="1"/>
        <v>61.106563616417141</v>
      </c>
      <c r="R11" s="41">
        <f t="shared" si="1"/>
        <v>60.922384747933961</v>
      </c>
      <c r="S11" s="41">
        <f t="shared" si="1"/>
        <v>60.738205879450788</v>
      </c>
      <c r="T11" s="41">
        <f t="shared" si="1"/>
        <v>60.554027010967616</v>
      </c>
      <c r="U11" s="41">
        <f t="shared" si="1"/>
        <v>60.369848142484436</v>
      </c>
      <c r="V11" s="41">
        <f t="shared" si="1"/>
        <v>60.185669274001256</v>
      </c>
      <c r="W11" s="41">
        <f t="shared" si="1"/>
        <v>60.001490405518084</v>
      </c>
      <c r="X11" s="41">
        <f t="shared" si="1"/>
        <v>59.817311537034911</v>
      </c>
    </row>
    <row r="12" spans="1:24" ht="20.25" customHeight="1">
      <c r="A12" s="40">
        <v>2.1</v>
      </c>
      <c r="B12" s="40" t="s">
        <v>31</v>
      </c>
      <c r="C12" s="41">
        <f t="shared" ref="C12:C17" si="2">SUM(D12:X12)</f>
        <v>1520</v>
      </c>
      <c r="D12" s="41">
        <f>项目总投资资金筹措计划表!D6</f>
        <v>1520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</row>
    <row r="13" spans="1:24" ht="20.25" customHeight="1">
      <c r="A13" s="40">
        <v>2.2000000000000002</v>
      </c>
      <c r="B13" s="40" t="s">
        <v>12</v>
      </c>
      <c r="C13" s="41">
        <f t="shared" si="2"/>
        <v>6</v>
      </c>
      <c r="D13" s="40">
        <v>0</v>
      </c>
      <c r="E13" s="41">
        <f>项目总投资资金筹措计划表!E8</f>
        <v>6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</row>
    <row r="14" spans="1:24" ht="20.25" customHeight="1">
      <c r="A14" s="40">
        <v>2.2999999999999998</v>
      </c>
      <c r="B14" s="40" t="s">
        <v>51</v>
      </c>
      <c r="C14" s="41">
        <f t="shared" si="2"/>
        <v>1143.9467930092414</v>
      </c>
      <c r="D14" s="40">
        <v>0</v>
      </c>
      <c r="E14" s="41">
        <f>总成本费用估算表!E25</f>
        <v>55.674057011427273</v>
      </c>
      <c r="F14" s="41">
        <f>总成本费用估算表!F25</f>
        <v>55.505863026240739</v>
      </c>
      <c r="G14" s="41">
        <f>总成本费用估算表!G25</f>
        <v>55.337669041054198</v>
      </c>
      <c r="H14" s="41">
        <f>总成本费用估算表!H25</f>
        <v>55.169475055867657</v>
      </c>
      <c r="I14" s="41">
        <f>总成本费用估算表!I25</f>
        <v>55.001281070681124</v>
      </c>
      <c r="J14" s="41">
        <f>总成本费用估算表!J25</f>
        <v>58.994587749903793</v>
      </c>
      <c r="K14" s="41">
        <f>总成本费用估算表!K25</f>
        <v>58.826393764717253</v>
      </c>
      <c r="L14" s="41">
        <f>总成本费用估算表!L25</f>
        <v>58.658199779530712</v>
      </c>
      <c r="M14" s="41">
        <f>总成本费用估算表!M25</f>
        <v>58.490005794344178</v>
      </c>
      <c r="N14" s="41">
        <f>总成本费用估算表!N25</f>
        <v>58.321811809157637</v>
      </c>
      <c r="O14" s="41">
        <f>总成本费用估算表!O25</f>
        <v>58.153617823971096</v>
      </c>
      <c r="P14" s="41">
        <f>总成本费用估算表!P25</f>
        <v>57.985423838784563</v>
      </c>
      <c r="Q14" s="41">
        <f>总成本费用估算表!Q25</f>
        <v>57.817229853598022</v>
      </c>
      <c r="R14" s="41">
        <f>总成本费用估算表!R25</f>
        <v>57.649035868411481</v>
      </c>
      <c r="S14" s="41">
        <f>总成本费用估算表!S25</f>
        <v>57.48084188322494</v>
      </c>
      <c r="T14" s="41">
        <f>总成本费用估算表!T25</f>
        <v>57.312647898038406</v>
      </c>
      <c r="U14" s="41">
        <f>总成本费用估算表!U25</f>
        <v>57.144453912851866</v>
      </c>
      <c r="V14" s="41">
        <f>总成本费用估算表!V25</f>
        <v>56.976259927665325</v>
      </c>
      <c r="W14" s="41">
        <f>总成本费用估算表!W25</f>
        <v>56.808065942478784</v>
      </c>
      <c r="X14" s="41">
        <f>总成本费用估算表!X25</f>
        <v>56.63987195729225</v>
      </c>
    </row>
    <row r="15" spans="1:24" ht="20.25" customHeight="1">
      <c r="A15" s="40">
        <v>2.4</v>
      </c>
      <c r="B15" s="40" t="s">
        <v>55</v>
      </c>
      <c r="C15" s="41">
        <f t="shared" si="2"/>
        <v>49.628153997582608</v>
      </c>
      <c r="D15" s="41">
        <f>D16+D17</f>
        <v>0</v>
      </c>
      <c r="E15" s="41">
        <f t="shared" ref="E15:X15" si="3">E16+E17</f>
        <v>0</v>
      </c>
      <c r="F15" s="41">
        <f t="shared" si="3"/>
        <v>0</v>
      </c>
      <c r="G15" s="41">
        <f t="shared" si="3"/>
        <v>0</v>
      </c>
      <c r="H15" s="41">
        <f t="shared" si="3"/>
        <v>0</v>
      </c>
      <c r="I15" s="41">
        <f t="shared" si="3"/>
        <v>0</v>
      </c>
      <c r="J15" s="41">
        <f t="shared" si="3"/>
        <v>3.6893755011914164</v>
      </c>
      <c r="K15" s="41">
        <f t="shared" si="3"/>
        <v>3.3852430625989403</v>
      </c>
      <c r="L15" s="41">
        <f t="shared" si="3"/>
        <v>3.3692581793023031</v>
      </c>
      <c r="M15" s="41">
        <f t="shared" si="3"/>
        <v>3.3532732960056659</v>
      </c>
      <c r="N15" s="41">
        <f t="shared" si="3"/>
        <v>3.3372884127090288</v>
      </c>
      <c r="O15" s="41">
        <f t="shared" si="3"/>
        <v>3.3213035294123925</v>
      </c>
      <c r="P15" s="41">
        <f t="shared" si="3"/>
        <v>3.3053186461157553</v>
      </c>
      <c r="Q15" s="41">
        <f t="shared" si="3"/>
        <v>3.2893337628191182</v>
      </c>
      <c r="R15" s="41">
        <f t="shared" si="3"/>
        <v>3.273348879522481</v>
      </c>
      <c r="S15" s="41">
        <f t="shared" si="3"/>
        <v>3.2573639962258447</v>
      </c>
      <c r="T15" s="41">
        <f t="shared" si="3"/>
        <v>3.2413791129292076</v>
      </c>
      <c r="U15" s="41">
        <f t="shared" si="3"/>
        <v>3.2253942296325704</v>
      </c>
      <c r="V15" s="41">
        <f t="shared" si="3"/>
        <v>3.2094093463359332</v>
      </c>
      <c r="W15" s="41">
        <f t="shared" si="3"/>
        <v>3.1934244630392961</v>
      </c>
      <c r="X15" s="41">
        <f t="shared" si="3"/>
        <v>3.1774395797426589</v>
      </c>
    </row>
    <row r="16" spans="1:24" ht="20.25" customHeight="1">
      <c r="A16" s="40" t="s">
        <v>290</v>
      </c>
      <c r="B16" s="40" t="s">
        <v>292</v>
      </c>
      <c r="C16" s="42">
        <f t="shared" si="2"/>
        <v>28.94975649858986</v>
      </c>
      <c r="D16" s="43">
        <v>0</v>
      </c>
      <c r="E16" s="42">
        <f>(E6*0.13-E8)*0.07</f>
        <v>0</v>
      </c>
      <c r="F16" s="42">
        <f t="shared" ref="F16:W16" si="4">(F6*0.13-F8)*0.07</f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2.1521357090283262</v>
      </c>
      <c r="K16" s="42">
        <f t="shared" si="4"/>
        <v>1.9747251198493818</v>
      </c>
      <c r="L16" s="42">
        <f t="shared" si="4"/>
        <v>1.9654006045930104</v>
      </c>
      <c r="M16" s="42">
        <f t="shared" si="4"/>
        <v>1.9560760893366385</v>
      </c>
      <c r="N16" s="42">
        <f t="shared" si="4"/>
        <v>1.946751574080267</v>
      </c>
      <c r="O16" s="42">
        <f t="shared" si="4"/>
        <v>1.9374270588238958</v>
      </c>
      <c r="P16" s="42">
        <f t="shared" si="4"/>
        <v>1.9281025435675241</v>
      </c>
      <c r="Q16" s="42">
        <f t="shared" si="4"/>
        <v>1.9187780283111524</v>
      </c>
      <c r="R16" s="42">
        <f t="shared" si="4"/>
        <v>1.9094535130547807</v>
      </c>
      <c r="S16" s="42">
        <f t="shared" si="4"/>
        <v>1.9001289977984095</v>
      </c>
      <c r="T16" s="42">
        <f t="shared" si="4"/>
        <v>1.8908044825420376</v>
      </c>
      <c r="U16" s="42">
        <f t="shared" si="4"/>
        <v>1.8814799672856661</v>
      </c>
      <c r="V16" s="42">
        <f t="shared" si="4"/>
        <v>1.8721554520292942</v>
      </c>
      <c r="W16" s="42">
        <f t="shared" si="4"/>
        <v>1.8628309367729228</v>
      </c>
      <c r="X16" s="42">
        <f>(X6*0.13-X8)*0.07</f>
        <v>1.8535064215165511</v>
      </c>
    </row>
    <row r="17" spans="1:24" ht="20.25" customHeight="1">
      <c r="A17" s="40" t="s">
        <v>291</v>
      </c>
      <c r="B17" s="40" t="s">
        <v>293</v>
      </c>
      <c r="C17" s="42">
        <f t="shared" si="2"/>
        <v>20.678397498992755</v>
      </c>
      <c r="D17" s="43">
        <v>0</v>
      </c>
      <c r="E17" s="42">
        <f>(E6*0.13-E8)*0.05</f>
        <v>0</v>
      </c>
      <c r="F17" s="42">
        <f t="shared" ref="F17:X17" si="5">(F6*0.13-F8)*0.05</f>
        <v>0</v>
      </c>
      <c r="G17" s="42">
        <f t="shared" si="5"/>
        <v>0</v>
      </c>
      <c r="H17" s="42">
        <f t="shared" si="5"/>
        <v>0</v>
      </c>
      <c r="I17" s="42">
        <f t="shared" si="5"/>
        <v>0</v>
      </c>
      <c r="J17" s="42">
        <f t="shared" si="5"/>
        <v>1.53723979216309</v>
      </c>
      <c r="K17" s="42">
        <f t="shared" si="5"/>
        <v>1.4105179427495584</v>
      </c>
      <c r="L17" s="42">
        <f t="shared" si="5"/>
        <v>1.403857574709293</v>
      </c>
      <c r="M17" s="42">
        <f t="shared" si="5"/>
        <v>1.3971972066690275</v>
      </c>
      <c r="N17" s="42">
        <f t="shared" si="5"/>
        <v>1.390536838628762</v>
      </c>
      <c r="O17" s="42">
        <f t="shared" si="5"/>
        <v>1.3838764705884969</v>
      </c>
      <c r="P17" s="42">
        <f t="shared" si="5"/>
        <v>1.3772161025482315</v>
      </c>
      <c r="Q17" s="42">
        <f t="shared" si="5"/>
        <v>1.370555734507966</v>
      </c>
      <c r="R17" s="42">
        <f t="shared" si="5"/>
        <v>1.3638953664677005</v>
      </c>
      <c r="S17" s="42">
        <f t="shared" si="5"/>
        <v>1.3572349984274352</v>
      </c>
      <c r="T17" s="42">
        <f t="shared" si="5"/>
        <v>1.3505746303871697</v>
      </c>
      <c r="U17" s="42">
        <f t="shared" si="5"/>
        <v>1.3439142623469043</v>
      </c>
      <c r="V17" s="42">
        <f t="shared" si="5"/>
        <v>1.3372538943066388</v>
      </c>
      <c r="W17" s="42">
        <f t="shared" si="5"/>
        <v>1.3305935262663733</v>
      </c>
      <c r="X17" s="42">
        <f t="shared" si="5"/>
        <v>1.323933158226108</v>
      </c>
    </row>
    <row r="18" spans="1:24" ht="20.25" customHeight="1">
      <c r="A18" s="40">
        <v>3</v>
      </c>
      <c r="B18" s="40" t="s">
        <v>132</v>
      </c>
      <c r="C18" s="41">
        <f>C5-C11</f>
        <v>1737.6829395274171</v>
      </c>
      <c r="D18" s="41">
        <f t="shared" ref="D18:X18" si="6">D5-D11</f>
        <v>-1520</v>
      </c>
      <c r="E18" s="41">
        <f t="shared" si="6"/>
        <v>190.48633846857277</v>
      </c>
      <c r="F18" s="41">
        <f t="shared" si="6"/>
        <v>195.49665308675927</v>
      </c>
      <c r="G18" s="41">
        <f t="shared" si="6"/>
        <v>194.50696770494591</v>
      </c>
      <c r="H18" s="41">
        <f t="shared" si="6"/>
        <v>193.51728232313243</v>
      </c>
      <c r="I18" s="41">
        <f t="shared" si="6"/>
        <v>192.52759694131896</v>
      </c>
      <c r="J18" s="41">
        <f t="shared" si="6"/>
        <v>152.94223955064314</v>
      </c>
      <c r="K18" s="41">
        <f t="shared" si="6"/>
        <v>154.79112359569277</v>
      </c>
      <c r="L18" s="41">
        <f t="shared" si="6"/>
        <v>153.95063045798128</v>
      </c>
      <c r="M18" s="41">
        <f t="shared" si="6"/>
        <v>153.11013732026973</v>
      </c>
      <c r="N18" s="41">
        <f t="shared" si="6"/>
        <v>152.26964418255824</v>
      </c>
      <c r="O18" s="41">
        <f t="shared" si="6"/>
        <v>151.42915104484678</v>
      </c>
      <c r="P18" s="41">
        <f t="shared" si="6"/>
        <v>150.58865790713526</v>
      </c>
      <c r="Q18" s="41">
        <f t="shared" si="6"/>
        <v>149.74816476942374</v>
      </c>
      <c r="R18" s="41">
        <f t="shared" si="6"/>
        <v>148.90767163171225</v>
      </c>
      <c r="S18" s="41">
        <f t="shared" si="6"/>
        <v>148.06717849400076</v>
      </c>
      <c r="T18" s="41">
        <f t="shared" si="6"/>
        <v>147.22668535628924</v>
      </c>
      <c r="U18" s="41">
        <f t="shared" si="6"/>
        <v>146.38619221857775</v>
      </c>
      <c r="V18" s="41">
        <f t="shared" si="6"/>
        <v>145.5456990808662</v>
      </c>
      <c r="W18" s="41">
        <f t="shared" si="6"/>
        <v>144.70520594315474</v>
      </c>
      <c r="X18" s="41">
        <f t="shared" si="6"/>
        <v>191.47971944953531</v>
      </c>
    </row>
    <row r="19" spans="1:24" ht="20.25" customHeight="1">
      <c r="A19" s="40">
        <v>4</v>
      </c>
      <c r="B19" s="40" t="s">
        <v>133</v>
      </c>
      <c r="C19" s="41">
        <f>SUM(D19:X19)</f>
        <v>3687.9161470560098</v>
      </c>
      <c r="D19" s="41">
        <f>D18</f>
        <v>-1520</v>
      </c>
      <c r="E19" s="41">
        <f t="shared" ref="E19:X19" si="7">D19+E18</f>
        <v>-1329.5136615314273</v>
      </c>
      <c r="F19" s="41">
        <f t="shared" si="7"/>
        <v>-1134.0170084446679</v>
      </c>
      <c r="G19" s="41">
        <f t="shared" si="7"/>
        <v>-939.51004073972194</v>
      </c>
      <c r="H19" s="41">
        <f t="shared" si="7"/>
        <v>-745.99275841658948</v>
      </c>
      <c r="I19" s="41">
        <f t="shared" si="7"/>
        <v>-553.46516147527052</v>
      </c>
      <c r="J19" s="41">
        <f t="shared" si="7"/>
        <v>-400.52292192462738</v>
      </c>
      <c r="K19" s="41">
        <f t="shared" si="7"/>
        <v>-245.73179832893462</v>
      </c>
      <c r="L19" s="41">
        <f t="shared" si="7"/>
        <v>-91.78116787095334</v>
      </c>
      <c r="M19" s="41">
        <f t="shared" si="7"/>
        <v>61.328969449316389</v>
      </c>
      <c r="N19" s="41">
        <f t="shared" si="7"/>
        <v>213.59861363187463</v>
      </c>
      <c r="O19" s="41">
        <f t="shared" si="7"/>
        <v>365.0277646767214</v>
      </c>
      <c r="P19" s="41">
        <f t="shared" si="7"/>
        <v>515.61642258385666</v>
      </c>
      <c r="Q19" s="41">
        <f t="shared" si="7"/>
        <v>665.3645873532804</v>
      </c>
      <c r="R19" s="41">
        <f t="shared" si="7"/>
        <v>814.27225898499262</v>
      </c>
      <c r="S19" s="41">
        <f t="shared" si="7"/>
        <v>962.33943747899343</v>
      </c>
      <c r="T19" s="41">
        <f t="shared" si="7"/>
        <v>1109.5661228352826</v>
      </c>
      <c r="U19" s="41">
        <f t="shared" si="7"/>
        <v>1255.9523150538603</v>
      </c>
      <c r="V19" s="41">
        <f t="shared" si="7"/>
        <v>1401.4980141347264</v>
      </c>
      <c r="W19" s="41">
        <f t="shared" si="7"/>
        <v>1546.2032200778813</v>
      </c>
      <c r="X19" s="41">
        <f t="shared" si="7"/>
        <v>1737.6829395274167</v>
      </c>
    </row>
    <row r="20" spans="1:24" ht="20.25" customHeight="1">
      <c r="A20" s="40">
        <v>5</v>
      </c>
      <c r="B20" s="40" t="s">
        <v>134</v>
      </c>
      <c r="C20" s="41">
        <f>SUM(D20:X20)</f>
        <v>322.48473590392149</v>
      </c>
      <c r="D20" s="40">
        <v>0</v>
      </c>
      <c r="E20" s="40">
        <v>0</v>
      </c>
      <c r="F20" s="40">
        <v>0</v>
      </c>
      <c r="G20" s="40">
        <v>0</v>
      </c>
      <c r="H20" s="41">
        <f>(利润与利润分配表!H16+总成本费用估算表!H20)*0.25/2</f>
        <v>12.203713413888721</v>
      </c>
      <c r="I20" s="41">
        <f>(利润与利润分配表!I16+总成本费用估算表!I20)*0.25/2</f>
        <v>12.096653661262707</v>
      </c>
      <c r="J20" s="41">
        <f>(利润与利润分配表!J16+总成本费用估算表!J20)*0.25/2</f>
        <v>11.008234387936611</v>
      </c>
      <c r="K20" s="41">
        <f>(利润与利润分配表!K16+总成本费用估算表!K20)*0.25</f>
        <v>21.878382380269301</v>
      </c>
      <c r="L20" s="41">
        <f>(利润与利润分配表!L16+总成本费用估算表!L20)*0.25</f>
        <v>21.668259095841432</v>
      </c>
      <c r="M20" s="41">
        <f>(利润与利润分配表!M16+总成本费用估算表!M20)*0.25</f>
        <v>21.458135811413545</v>
      </c>
      <c r="N20" s="41">
        <f>(利润与利润分配表!N16+总成本费用估算表!N20)*0.25</f>
        <v>21.248012526985676</v>
      </c>
      <c r="O20" s="41">
        <f>(利润与利润分配表!O16+总成本费用估算表!O20)*0.25</f>
        <v>21.037889242557799</v>
      </c>
      <c r="P20" s="41">
        <f>(利润与利润分配表!P16+总成本费用估算表!P20)*0.25</f>
        <v>20.82776595812993</v>
      </c>
      <c r="Q20" s="41">
        <f>(利润与利润分配表!Q16+总成本费用估算表!Q20)*0.25</f>
        <v>20.617642673702044</v>
      </c>
      <c r="R20" s="41">
        <f>(利润与利润分配表!R16+总成本费用估算表!R20)*0.25</f>
        <v>20.407519389274174</v>
      </c>
      <c r="S20" s="41">
        <f>(利润与利润分配表!S16+总成本费用估算表!S20)*0.25</f>
        <v>20.197396104846298</v>
      </c>
      <c r="T20" s="41">
        <f>(利润与利润分配表!T16+总成本费用估算表!T20)*0.25</f>
        <v>19.987272820418426</v>
      </c>
      <c r="U20" s="41">
        <f>(利润与利润分配表!U16+总成本费用估算表!U20)*0.25</f>
        <v>19.777149535990549</v>
      </c>
      <c r="V20" s="41">
        <f>(利润与利润分配表!V16+总成本费用估算表!V20)*0.25</f>
        <v>19.567026251562659</v>
      </c>
      <c r="W20" s="41">
        <f>(利润与利润分配表!W16+总成本费用估算表!W20)*0.25</f>
        <v>19.356902967134793</v>
      </c>
      <c r="X20" s="41">
        <f>(利润与利润分配表!X16+总成本费用估算表!X20)*0.25</f>
        <v>19.14677968270691</v>
      </c>
    </row>
    <row r="21" spans="1:24" ht="30" customHeight="1">
      <c r="A21" s="40">
        <v>6</v>
      </c>
      <c r="B21" s="40" t="s">
        <v>135</v>
      </c>
      <c r="C21" s="41">
        <f>SUM(D21:X21)</f>
        <v>1415.1982036234949</v>
      </c>
      <c r="D21" s="41">
        <f t="shared" ref="D21:X21" si="8">D18-D20</f>
        <v>-1520</v>
      </c>
      <c r="E21" s="41">
        <f t="shared" si="8"/>
        <v>190.48633846857277</v>
      </c>
      <c r="F21" s="41">
        <f t="shared" si="8"/>
        <v>195.49665308675927</v>
      </c>
      <c r="G21" s="41">
        <f t="shared" si="8"/>
        <v>194.50696770494591</v>
      </c>
      <c r="H21" s="41">
        <f t="shared" si="8"/>
        <v>181.31356890924371</v>
      </c>
      <c r="I21" s="41">
        <f t="shared" si="8"/>
        <v>180.43094328005625</v>
      </c>
      <c r="J21" s="41">
        <f t="shared" si="8"/>
        <v>141.93400516270651</v>
      </c>
      <c r="K21" s="41">
        <f t="shared" si="8"/>
        <v>132.91274121542347</v>
      </c>
      <c r="L21" s="41">
        <f t="shared" si="8"/>
        <v>132.28237136213986</v>
      </c>
      <c r="M21" s="41">
        <f t="shared" si="8"/>
        <v>131.65200150885619</v>
      </c>
      <c r="N21" s="41">
        <f t="shared" si="8"/>
        <v>131.02163165557255</v>
      </c>
      <c r="O21" s="41">
        <f t="shared" si="8"/>
        <v>130.39126180228897</v>
      </c>
      <c r="P21" s="41">
        <f t="shared" si="8"/>
        <v>129.76089194900533</v>
      </c>
      <c r="Q21" s="41">
        <f t="shared" si="8"/>
        <v>129.13052209572169</v>
      </c>
      <c r="R21" s="41">
        <f t="shared" si="8"/>
        <v>128.50015224243808</v>
      </c>
      <c r="S21" s="41">
        <f t="shared" si="8"/>
        <v>127.86978238915447</v>
      </c>
      <c r="T21" s="41">
        <f t="shared" si="8"/>
        <v>127.23941253587081</v>
      </c>
      <c r="U21" s="41">
        <f t="shared" si="8"/>
        <v>126.6090426825872</v>
      </c>
      <c r="V21" s="41">
        <f t="shared" si="8"/>
        <v>125.97867282930355</v>
      </c>
      <c r="W21" s="41">
        <f t="shared" si="8"/>
        <v>125.34830297601994</v>
      </c>
      <c r="X21" s="41">
        <f t="shared" si="8"/>
        <v>172.33293976682839</v>
      </c>
    </row>
    <row r="22" spans="1:24" ht="34.5" customHeight="1">
      <c r="A22" s="40">
        <v>7</v>
      </c>
      <c r="B22" s="40" t="s">
        <v>136</v>
      </c>
      <c r="C22" s="41">
        <f>SUM(D22:X22)</f>
        <v>910.07307145451682</v>
      </c>
      <c r="D22" s="41">
        <f>D21</f>
        <v>-1520</v>
      </c>
      <c r="E22" s="41">
        <f t="shared" ref="E22:O22" si="9">D22+E21</f>
        <v>-1329.5136615314273</v>
      </c>
      <c r="F22" s="41">
        <f t="shared" si="9"/>
        <v>-1134.0170084446679</v>
      </c>
      <c r="G22" s="41">
        <f t="shared" si="9"/>
        <v>-939.51004073972194</v>
      </c>
      <c r="H22" s="41">
        <f t="shared" si="9"/>
        <v>-758.19647183047823</v>
      </c>
      <c r="I22" s="41">
        <f t="shared" si="9"/>
        <v>-577.765528550422</v>
      </c>
      <c r="J22" s="41">
        <f t="shared" si="9"/>
        <v>-435.83152338771549</v>
      </c>
      <c r="K22" s="41">
        <f t="shared" si="9"/>
        <v>-302.91878217229203</v>
      </c>
      <c r="L22" s="41">
        <f t="shared" si="9"/>
        <v>-170.63641081015217</v>
      </c>
      <c r="M22" s="41">
        <f t="shared" si="9"/>
        <v>-38.984409301295983</v>
      </c>
      <c r="N22" s="41">
        <f t="shared" si="9"/>
        <v>92.037222354276565</v>
      </c>
      <c r="O22" s="41">
        <f t="shared" si="9"/>
        <v>222.42848415656553</v>
      </c>
      <c r="P22" s="41">
        <f>O22+Q21</f>
        <v>351.55900625228719</v>
      </c>
      <c r="Q22" s="41">
        <f>P22+Q21</f>
        <v>480.68952834800888</v>
      </c>
      <c r="R22" s="41">
        <f>Q22+S21</f>
        <v>608.55931073716329</v>
      </c>
      <c r="S22" s="41">
        <f t="shared" ref="S22:X22" si="10">R22+S21</f>
        <v>736.42909312631775</v>
      </c>
      <c r="T22" s="41">
        <f t="shared" si="10"/>
        <v>863.66850566218852</v>
      </c>
      <c r="U22" s="41">
        <f t="shared" si="10"/>
        <v>990.27754834477571</v>
      </c>
      <c r="V22" s="41">
        <f t="shared" si="10"/>
        <v>1116.2562211740792</v>
      </c>
      <c r="W22" s="41">
        <f t="shared" si="10"/>
        <v>1241.6045241500992</v>
      </c>
      <c r="X22" s="41">
        <f t="shared" si="10"/>
        <v>1413.9374639169275</v>
      </c>
    </row>
    <row r="23" spans="1:2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</sheetData>
  <sheetProtection password="C6BB" sheet="1" objects="1" scenarios="1"/>
  <mergeCells count="6">
    <mergeCell ref="A1:X2"/>
    <mergeCell ref="A3:A4"/>
    <mergeCell ref="B3:B4"/>
    <mergeCell ref="C3:C4"/>
    <mergeCell ref="E3:M3"/>
    <mergeCell ref="N3:X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18"/>
  <sheetViews>
    <sheetView workbookViewId="0">
      <selection activeCell="N37" sqref="N37"/>
    </sheetView>
  </sheetViews>
  <sheetFormatPr defaultRowHeight="13.5"/>
  <cols>
    <col min="2" max="2" width="17.375" customWidth="1"/>
    <col min="3" max="4" width="11.25" bestFit="1" customWidth="1"/>
  </cols>
  <sheetData>
    <row r="1" spans="1:24">
      <c r="A1" s="90" t="s">
        <v>295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>
      <c r="A3" s="91" t="s">
        <v>0</v>
      </c>
      <c r="B3" s="91" t="s">
        <v>11</v>
      </c>
      <c r="C3" s="91" t="s">
        <v>30</v>
      </c>
      <c r="D3" s="39" t="s">
        <v>38</v>
      </c>
      <c r="E3" s="91" t="s">
        <v>39</v>
      </c>
      <c r="F3" s="91"/>
      <c r="G3" s="91"/>
      <c r="H3" s="91"/>
      <c r="I3" s="91"/>
      <c r="J3" s="91"/>
      <c r="K3" s="91"/>
      <c r="L3" s="91"/>
      <c r="M3" s="91"/>
      <c r="N3" s="91" t="s">
        <v>39</v>
      </c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>
      <c r="A4" s="91"/>
      <c r="B4" s="91"/>
      <c r="C4" s="91"/>
      <c r="D4" s="39" t="s">
        <v>40</v>
      </c>
      <c r="E4" s="39" t="s">
        <v>41</v>
      </c>
      <c r="F4" s="39" t="s">
        <v>42</v>
      </c>
      <c r="G4" s="39" t="s">
        <v>43</v>
      </c>
      <c r="H4" s="39" t="s">
        <v>44</v>
      </c>
      <c r="I4" s="39" t="s">
        <v>45</v>
      </c>
      <c r="J4" s="39" t="s">
        <v>46</v>
      </c>
      <c r="K4" s="39" t="s">
        <v>47</v>
      </c>
      <c r="L4" s="39" t="s">
        <v>48</v>
      </c>
      <c r="M4" s="39" t="s">
        <v>49</v>
      </c>
      <c r="N4" s="39" t="s">
        <v>244</v>
      </c>
      <c r="O4" s="39" t="s">
        <v>245</v>
      </c>
      <c r="P4" s="39" t="s">
        <v>246</v>
      </c>
      <c r="Q4" s="39" t="s">
        <v>247</v>
      </c>
      <c r="R4" s="39" t="s">
        <v>248</v>
      </c>
      <c r="S4" s="39" t="s">
        <v>249</v>
      </c>
      <c r="T4" s="39" t="s">
        <v>250</v>
      </c>
      <c r="U4" s="39" t="s">
        <v>251</v>
      </c>
      <c r="V4" s="39" t="s">
        <v>252</v>
      </c>
      <c r="W4" s="39" t="s">
        <v>253</v>
      </c>
      <c r="X4" s="39" t="s">
        <v>254</v>
      </c>
    </row>
    <row r="5" spans="1:24">
      <c r="A5" s="40">
        <v>1</v>
      </c>
      <c r="B5" s="40" t="s">
        <v>91</v>
      </c>
      <c r="C5" s="41">
        <f t="shared" ref="C5:C10" si="0">SUM(D5:X5)</f>
        <v>4457.2578865342412</v>
      </c>
      <c r="D5" s="41">
        <f>D6+D7+D8+D9+D10</f>
        <v>0</v>
      </c>
      <c r="E5" s="41">
        <f t="shared" ref="E5:X5" si="1">E6+E7+E8+E9+E10</f>
        <v>252.16039548000003</v>
      </c>
      <c r="F5" s="41">
        <f t="shared" si="1"/>
        <v>251.00251611300001</v>
      </c>
      <c r="G5" s="41">
        <f t="shared" si="1"/>
        <v>249.84463674600011</v>
      </c>
      <c r="H5" s="41">
        <f t="shared" si="1"/>
        <v>248.68675737900008</v>
      </c>
      <c r="I5" s="41">
        <f t="shared" si="1"/>
        <v>247.52887801200009</v>
      </c>
      <c r="J5" s="41">
        <f t="shared" si="1"/>
        <v>215.62620280173834</v>
      </c>
      <c r="K5" s="41">
        <f t="shared" si="1"/>
        <v>217.00276042300897</v>
      </c>
      <c r="L5" s="41">
        <f t="shared" si="1"/>
        <v>215.9780884168143</v>
      </c>
      <c r="M5" s="41">
        <f t="shared" si="1"/>
        <v>214.95341641061958</v>
      </c>
      <c r="N5" s="41">
        <f t="shared" si="1"/>
        <v>213.92874440442492</v>
      </c>
      <c r="O5" s="41">
        <f t="shared" si="1"/>
        <v>212.90407239823026</v>
      </c>
      <c r="P5" s="41">
        <f t="shared" si="1"/>
        <v>211.87940039203559</v>
      </c>
      <c r="Q5" s="41">
        <f t="shared" si="1"/>
        <v>210.85472838584087</v>
      </c>
      <c r="R5" s="41">
        <f t="shared" si="1"/>
        <v>209.83005637964621</v>
      </c>
      <c r="S5" s="41">
        <f t="shared" si="1"/>
        <v>208.80538437345155</v>
      </c>
      <c r="T5" s="41">
        <f t="shared" si="1"/>
        <v>207.78071236725685</v>
      </c>
      <c r="U5" s="41">
        <f t="shared" si="1"/>
        <v>206.75604036106219</v>
      </c>
      <c r="V5" s="41">
        <f t="shared" si="1"/>
        <v>205.73136835486747</v>
      </c>
      <c r="W5" s="41">
        <f t="shared" si="1"/>
        <v>204.70669634867281</v>
      </c>
      <c r="X5" s="41">
        <f t="shared" si="1"/>
        <v>251.29703098657023</v>
      </c>
    </row>
    <row r="6" spans="1:24">
      <c r="A6" s="40">
        <v>1.1000000000000001</v>
      </c>
      <c r="B6" s="40" t="s">
        <v>54</v>
      </c>
      <c r="C6" s="41">
        <f t="shared" si="0"/>
        <v>4268.3281680265509</v>
      </c>
      <c r="D6" s="41">
        <f>财务计划现金流量表!D7</f>
        <v>0</v>
      </c>
      <c r="E6" s="41">
        <f>财务计划现金流量表!E7</f>
        <v>223.15079246017703</v>
      </c>
      <c r="F6" s="41">
        <f>财务计划现金流量表!F7</f>
        <v>222.12612045398231</v>
      </c>
      <c r="G6" s="41">
        <f>财务计划现金流量表!G7</f>
        <v>221.1014484477877</v>
      </c>
      <c r="H6" s="41">
        <f>财务计划现金流量表!H7</f>
        <v>220.07677644159298</v>
      </c>
      <c r="I6" s="41">
        <f>财务计划现金流量表!I7</f>
        <v>219.05210443539832</v>
      </c>
      <c r="J6" s="41">
        <f>财务计划现金流量表!J7</f>
        <v>218.02743242920366</v>
      </c>
      <c r="K6" s="41">
        <f>财务计划现金流量表!K7</f>
        <v>217.00276042300897</v>
      </c>
      <c r="L6" s="41">
        <f>财务计划现金流量表!L7</f>
        <v>215.9780884168143</v>
      </c>
      <c r="M6" s="41">
        <f>财务计划现金流量表!M7</f>
        <v>214.95341641061958</v>
      </c>
      <c r="N6" s="41">
        <f>财务计划现金流量表!N7</f>
        <v>213.92874440442492</v>
      </c>
      <c r="O6" s="41">
        <f>财务计划现金流量表!O7</f>
        <v>212.90407239823026</v>
      </c>
      <c r="P6" s="41">
        <f>财务计划现金流量表!P7</f>
        <v>211.87940039203559</v>
      </c>
      <c r="Q6" s="41">
        <f>财务计划现金流量表!Q7</f>
        <v>210.85472838584087</v>
      </c>
      <c r="R6" s="41">
        <f>财务计划现金流量表!R7</f>
        <v>209.83005637964621</v>
      </c>
      <c r="S6" s="41">
        <f>财务计划现金流量表!S7</f>
        <v>208.80538437345155</v>
      </c>
      <c r="T6" s="41">
        <f>财务计划现金流量表!T7</f>
        <v>207.78071236725685</v>
      </c>
      <c r="U6" s="41">
        <f>财务计划现金流量表!U7</f>
        <v>206.75604036106219</v>
      </c>
      <c r="V6" s="41">
        <f>财务计划现金流量表!V7</f>
        <v>205.73136835486747</v>
      </c>
      <c r="W6" s="41">
        <f>财务计划现金流量表!W7</f>
        <v>204.70669634867281</v>
      </c>
      <c r="X6" s="41">
        <f>财务计划现金流量表!X7</f>
        <v>203.68202434247812</v>
      </c>
    </row>
    <row r="7" spans="1:24">
      <c r="A7" s="40">
        <v>1.2</v>
      </c>
      <c r="B7" s="40" t="s">
        <v>128</v>
      </c>
      <c r="C7" s="40">
        <f t="shared" si="0"/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</row>
    <row r="8" spans="1:24">
      <c r="A8" s="40">
        <v>1.3</v>
      </c>
      <c r="B8" s="40" t="s">
        <v>129</v>
      </c>
      <c r="C8" s="41">
        <f t="shared" si="0"/>
        <v>141.31471186359667</v>
      </c>
      <c r="D8" s="41">
        <f>项目投资现金流量表!D8</f>
        <v>0</v>
      </c>
      <c r="E8" s="41">
        <f>项目投资现金流量表!E8</f>
        <v>29.009603019823015</v>
      </c>
      <c r="F8" s="41">
        <f>项目投资现金流量表!F8</f>
        <v>28.8763956590177</v>
      </c>
      <c r="G8" s="41">
        <f>项目投资现金流量表!G8</f>
        <v>28.743188298212402</v>
      </c>
      <c r="H8" s="41">
        <f>项目投资现金流量表!H8</f>
        <v>28.609980937407087</v>
      </c>
      <c r="I8" s="41">
        <f>项目投资现金流量表!I8</f>
        <v>28.476773576601783</v>
      </c>
      <c r="J8" s="41">
        <f>项目投资现金流量表!J8</f>
        <v>-2.4012296274653231</v>
      </c>
      <c r="K8" s="41">
        <f>项目投资现金流量表!K8</f>
        <v>0</v>
      </c>
      <c r="L8" s="41">
        <f>项目投资现金流量表!L8</f>
        <v>0</v>
      </c>
      <c r="M8" s="41">
        <f>项目投资现金流量表!M8</f>
        <v>0</v>
      </c>
      <c r="N8" s="41">
        <f>项目投资现金流量表!N8</f>
        <v>0</v>
      </c>
      <c r="O8" s="41">
        <f>项目投资现金流量表!O8</f>
        <v>0</v>
      </c>
      <c r="P8" s="41">
        <f>项目投资现金流量表!P8</f>
        <v>0</v>
      </c>
      <c r="Q8" s="41">
        <f>项目投资现金流量表!Q8</f>
        <v>0</v>
      </c>
      <c r="R8" s="41">
        <f>项目投资现金流量表!R8</f>
        <v>0</v>
      </c>
      <c r="S8" s="41">
        <f>项目投资现金流量表!S8</f>
        <v>0</v>
      </c>
      <c r="T8" s="41">
        <f>项目投资现金流量表!T8</f>
        <v>0</v>
      </c>
      <c r="U8" s="41">
        <f>项目投资现金流量表!U8</f>
        <v>0</v>
      </c>
      <c r="V8" s="41">
        <f>项目投资现金流量表!V8</f>
        <v>0</v>
      </c>
      <c r="W8" s="41">
        <f>项目投资现金流量表!W8</f>
        <v>0</v>
      </c>
      <c r="X8" s="41">
        <f>项目投资现金流量表!X8</f>
        <v>0</v>
      </c>
    </row>
    <row r="9" spans="1:24">
      <c r="A9" s="40">
        <v>1.4</v>
      </c>
      <c r="B9" s="40" t="s">
        <v>130</v>
      </c>
      <c r="C9" s="41">
        <f t="shared" si="0"/>
        <v>41.615006644092105</v>
      </c>
      <c r="D9" s="40">
        <f>项目投资现金流量表!D9</f>
        <v>0</v>
      </c>
      <c r="E9" s="40">
        <f>项目投资现金流量表!E9</f>
        <v>0</v>
      </c>
      <c r="F9" s="40">
        <f>项目投资现金流量表!F9</f>
        <v>0</v>
      </c>
      <c r="G9" s="40">
        <f>项目投资现金流量表!G9</f>
        <v>0</v>
      </c>
      <c r="H9" s="40">
        <f>项目投资现金流量表!H9</f>
        <v>0</v>
      </c>
      <c r="I9" s="40">
        <f>项目投资现金流量表!I9</f>
        <v>0</v>
      </c>
      <c r="J9" s="40">
        <f>项目投资现金流量表!J9</f>
        <v>0</v>
      </c>
      <c r="K9" s="40">
        <f>项目投资现金流量表!K9</f>
        <v>0</v>
      </c>
      <c r="L9" s="40">
        <f>项目投资现金流量表!L9</f>
        <v>0</v>
      </c>
      <c r="M9" s="40">
        <f>项目投资现金流量表!M9</f>
        <v>0</v>
      </c>
      <c r="N9" s="40">
        <f>项目投资现金流量表!N9</f>
        <v>0</v>
      </c>
      <c r="O9" s="40">
        <f>项目投资现金流量表!O9</f>
        <v>0</v>
      </c>
      <c r="P9" s="40">
        <f>项目投资现金流量表!P9</f>
        <v>0</v>
      </c>
      <c r="Q9" s="40">
        <f>项目投资现金流量表!Q9</f>
        <v>0</v>
      </c>
      <c r="R9" s="40">
        <f>项目投资现金流量表!R9</f>
        <v>0</v>
      </c>
      <c r="S9" s="40">
        <f>项目投资现金流量表!S9</f>
        <v>0</v>
      </c>
      <c r="T9" s="40">
        <f>项目投资现金流量表!T9</f>
        <v>0</v>
      </c>
      <c r="U9" s="40">
        <f>项目投资现金流量表!U9</f>
        <v>0</v>
      </c>
      <c r="V9" s="40">
        <f>项目投资现金流量表!V9</f>
        <v>0</v>
      </c>
      <c r="W9" s="40">
        <f>项目投资现金流量表!W9</f>
        <v>0</v>
      </c>
      <c r="X9" s="41">
        <f>项目投资现金流量表!X9</f>
        <v>41.615006644092105</v>
      </c>
    </row>
    <row r="10" spans="1:24">
      <c r="A10" s="40">
        <v>1.5</v>
      </c>
      <c r="B10" s="40" t="s">
        <v>131</v>
      </c>
      <c r="C10" s="41">
        <f t="shared" si="0"/>
        <v>6</v>
      </c>
      <c r="D10" s="40">
        <f>项目投资现金流量表!D10</f>
        <v>0</v>
      </c>
      <c r="E10" s="40">
        <f>项目投资现金流量表!E10</f>
        <v>0</v>
      </c>
      <c r="F10" s="40">
        <f>项目投资现金流量表!F10</f>
        <v>0</v>
      </c>
      <c r="G10" s="40">
        <f>项目投资现金流量表!G10</f>
        <v>0</v>
      </c>
      <c r="H10" s="40">
        <f>项目投资现金流量表!H10</f>
        <v>0</v>
      </c>
      <c r="I10" s="40">
        <f>项目投资现金流量表!I10</f>
        <v>0</v>
      </c>
      <c r="J10" s="40">
        <f>项目投资现金流量表!J10</f>
        <v>0</v>
      </c>
      <c r="K10" s="40">
        <f>项目投资现金流量表!K10</f>
        <v>0</v>
      </c>
      <c r="L10" s="40">
        <f>项目投资现金流量表!L10</f>
        <v>0</v>
      </c>
      <c r="M10" s="40">
        <f>项目投资现金流量表!M10</f>
        <v>0</v>
      </c>
      <c r="N10" s="40">
        <f>项目投资现金流量表!N10</f>
        <v>0</v>
      </c>
      <c r="O10" s="40">
        <f>项目投资现金流量表!O10</f>
        <v>0</v>
      </c>
      <c r="P10" s="40">
        <f>项目投资现金流量表!P10</f>
        <v>0</v>
      </c>
      <c r="Q10" s="40">
        <f>项目投资现金流量表!Q10</f>
        <v>0</v>
      </c>
      <c r="R10" s="40">
        <f>项目投资现金流量表!R10</f>
        <v>0</v>
      </c>
      <c r="S10" s="40">
        <f>项目投资现金流量表!S10</f>
        <v>0</v>
      </c>
      <c r="T10" s="40">
        <f>项目投资现金流量表!T10</f>
        <v>0</v>
      </c>
      <c r="U10" s="40">
        <f>项目投资现金流量表!U10</f>
        <v>0</v>
      </c>
      <c r="V10" s="40">
        <f>项目投资现金流量表!V10</f>
        <v>0</v>
      </c>
      <c r="W10" s="40">
        <f>项目投资现金流量表!W10</f>
        <v>0</v>
      </c>
      <c r="X10" s="41">
        <f>项目投资现金流量表!X10</f>
        <v>6</v>
      </c>
    </row>
    <row r="11" spans="1:24">
      <c r="A11" s="40">
        <v>2</v>
      </c>
      <c r="B11" s="40" t="s">
        <v>99</v>
      </c>
      <c r="C11" s="40"/>
      <c r="D11" s="41">
        <f>D12+D13+D14+D15+D16+D17</f>
        <v>305.69632000000001</v>
      </c>
      <c r="E11" s="41">
        <f t="shared" ref="E11:X11" si="2">E12+E13+E14+E15+E16+E17</f>
        <v>231.10191897942727</v>
      </c>
      <c r="F11" s="41">
        <f t="shared" si="2"/>
        <v>224.01636859744076</v>
      </c>
      <c r="G11" s="41">
        <f t="shared" si="2"/>
        <v>218.73081821545421</v>
      </c>
      <c r="H11" s="41">
        <f t="shared" si="2"/>
        <v>221.14932315015636</v>
      </c>
      <c r="I11" s="41">
        <f t="shared" si="2"/>
        <v>216.39638256514382</v>
      </c>
      <c r="J11" s="41">
        <f t="shared" si="2"/>
        <v>218.51295862503184</v>
      </c>
      <c r="K11" s="41">
        <f t="shared" si="2"/>
        <v>221.85244389798549</v>
      </c>
      <c r="L11" s="41">
        <f t="shared" si="2"/>
        <v>217.62012444747447</v>
      </c>
      <c r="M11" s="41">
        <f t="shared" si="2"/>
        <v>213.38780499696338</v>
      </c>
      <c r="N11" s="41">
        <f t="shared" si="2"/>
        <v>209.15548554645235</v>
      </c>
      <c r="O11" s="41">
        <f t="shared" si="2"/>
        <v>82.644638095941289</v>
      </c>
      <c r="P11" s="41">
        <f t="shared" si="2"/>
        <v>82.250335943030251</v>
      </c>
      <c r="Q11" s="41">
        <f t="shared" si="2"/>
        <v>81.856033790119184</v>
      </c>
      <c r="R11" s="41">
        <f t="shared" si="2"/>
        <v>81.461731637208132</v>
      </c>
      <c r="S11" s="41">
        <f t="shared" si="2"/>
        <v>81.067429484297094</v>
      </c>
      <c r="T11" s="41">
        <f t="shared" si="2"/>
        <v>80.673127331386041</v>
      </c>
      <c r="U11" s="41">
        <f t="shared" si="2"/>
        <v>80.278825178474989</v>
      </c>
      <c r="V11" s="41">
        <f t="shared" si="2"/>
        <v>79.884523025563908</v>
      </c>
      <c r="W11" s="41">
        <f t="shared" si="2"/>
        <v>79.490220872652884</v>
      </c>
      <c r="X11" s="41">
        <f t="shared" si="2"/>
        <v>83.295918719741806</v>
      </c>
    </row>
    <row r="12" spans="1:24">
      <c r="A12" s="40">
        <v>2.1</v>
      </c>
      <c r="B12" s="40" t="s">
        <v>137</v>
      </c>
      <c r="C12" s="41">
        <f>SUM(D12:X12)</f>
        <v>307.49632000000003</v>
      </c>
      <c r="D12" s="41">
        <f>项目总投资资金筹措计划表!D10</f>
        <v>305.69632000000001</v>
      </c>
      <c r="E12" s="41">
        <f>项目总投资资金筹措计划表!E10</f>
        <v>1.8000000000000003</v>
      </c>
      <c r="F12" s="40">
        <f>项目总投资资金筹措计划表!F10</f>
        <v>0</v>
      </c>
      <c r="G12" s="40">
        <f>项目总投资资金筹措计划表!G10</f>
        <v>0</v>
      </c>
      <c r="H12" s="40">
        <f>项目总投资资金筹措计划表!H10</f>
        <v>0</v>
      </c>
      <c r="I12" s="40">
        <f>项目总投资资金筹措计划表!I10</f>
        <v>0</v>
      </c>
      <c r="J12" s="40">
        <f>项目总投资资金筹措计划表!J10</f>
        <v>0</v>
      </c>
      <c r="K12" s="40">
        <f>项目总投资资金筹措计划表!K10</f>
        <v>0</v>
      </c>
      <c r="L12" s="40">
        <f>项目总投资资金筹措计划表!L10</f>
        <v>0</v>
      </c>
      <c r="M12" s="40">
        <f>项目总投资资金筹措计划表!M10</f>
        <v>0</v>
      </c>
      <c r="N12" s="40">
        <f>项目总投资资金筹措计划表!N10</f>
        <v>0</v>
      </c>
      <c r="O12" s="40">
        <f>项目总投资资金筹措计划表!O10</f>
        <v>0</v>
      </c>
      <c r="P12" s="40">
        <f>项目总投资资金筹措计划表!P10</f>
        <v>0</v>
      </c>
      <c r="Q12" s="40">
        <f>项目总投资资金筹措计划表!Q10</f>
        <v>0</v>
      </c>
      <c r="R12" s="40">
        <f>项目总投资资金筹措计划表!R10</f>
        <v>0</v>
      </c>
      <c r="S12" s="40">
        <f>项目总投资资金筹措计划表!S10</f>
        <v>0</v>
      </c>
      <c r="T12" s="40">
        <f>项目总投资资金筹措计划表!T10</f>
        <v>0</v>
      </c>
      <c r="U12" s="40">
        <f>项目总投资资金筹措计划表!U10</f>
        <v>0</v>
      </c>
      <c r="V12" s="40">
        <f>项目总投资资金筹措计划表!V10</f>
        <v>0</v>
      </c>
      <c r="W12" s="40">
        <f>项目总投资资金筹措计划表!W10</f>
        <v>0</v>
      </c>
      <c r="X12" s="40">
        <f>项目总投资资金筹措计划表!X10</f>
        <v>0</v>
      </c>
    </row>
    <row r="13" spans="1:24">
      <c r="A13" s="40">
        <v>2.2000000000000002</v>
      </c>
      <c r="B13" s="40" t="s">
        <v>138</v>
      </c>
      <c r="C13" s="41">
        <f>SUM(D13:X13)</f>
        <v>1226.9852800000003</v>
      </c>
      <c r="D13" s="41">
        <f>借款还本付息计划表!D8+借款还本付息计划表!D14</f>
        <v>0</v>
      </c>
      <c r="E13" s="41">
        <f>借款还本付息计划表!E8+借款还本付息计划表!E14</f>
        <v>122.27852800000001</v>
      </c>
      <c r="F13" s="41">
        <f>借款还本付息计划表!F8+借款还本付息计划表!F14</f>
        <v>122.27852800000001</v>
      </c>
      <c r="G13" s="41">
        <f>借款还本付息计划表!G8+借款还本付息计划表!G14</f>
        <v>122.27852800000001</v>
      </c>
      <c r="H13" s="41">
        <f>借款还本付息计划表!H8+借款还本付息计划表!H14</f>
        <v>122.27852800000001</v>
      </c>
      <c r="I13" s="41">
        <f>借款还本付息计划表!I8+借款还本付息计划表!I14</f>
        <v>122.27852800000001</v>
      </c>
      <c r="J13" s="41">
        <f>借款还本付息计划表!J8+借款还本付息计划表!J14</f>
        <v>122.27852800000001</v>
      </c>
      <c r="K13" s="41">
        <f>借款还本付息计划表!K8+借款还本付息计划表!K14</f>
        <v>122.27852800000001</v>
      </c>
      <c r="L13" s="41">
        <f>借款还本付息计划表!L8+借款还本付息计划表!L14</f>
        <v>122.27852800000001</v>
      </c>
      <c r="M13" s="41">
        <f>借款还本付息计划表!M8+借款还本付息计划表!M14</f>
        <v>122.27852800000001</v>
      </c>
      <c r="N13" s="41">
        <f>借款还本付息计划表!N8+借款还本付息计划表!N14</f>
        <v>122.27852800000001</v>
      </c>
      <c r="O13" s="54">
        <f>借款还本付息计划表!O8+借款还本付息计划表!O14</f>
        <v>0</v>
      </c>
      <c r="P13" s="54">
        <f>借款还本付息计划表!P8+借款还本付息计划表!P14</f>
        <v>0</v>
      </c>
      <c r="Q13" s="54">
        <f>借款还本付息计划表!Q8+借款还本付息计划表!Q14</f>
        <v>0</v>
      </c>
      <c r="R13" s="54">
        <f>借款还本付息计划表!R8+借款还本付息计划表!R14</f>
        <v>0</v>
      </c>
      <c r="S13" s="54">
        <f>借款还本付息计划表!S8+借款还本付息计划表!S14</f>
        <v>0</v>
      </c>
      <c r="T13" s="54">
        <f>借款还本付息计划表!T8+借款还本付息计划表!T14</f>
        <v>0</v>
      </c>
      <c r="U13" s="54">
        <f>借款还本付息计划表!U8+借款还本付息计划表!U14</f>
        <v>0</v>
      </c>
      <c r="V13" s="54">
        <f>借款还本付息计划表!V8+借款还本付息计划表!V14</f>
        <v>0</v>
      </c>
      <c r="W13" s="54">
        <f>借款还本付息计划表!W8+借款还本付息计划表!W14</f>
        <v>0</v>
      </c>
      <c r="X13" s="41">
        <f>借款还本付息计划表!X8+借款还本付息计划表!X14</f>
        <v>4.1999999999999993</v>
      </c>
    </row>
    <row r="14" spans="1:24">
      <c r="A14" s="40">
        <v>2.2999999999999998</v>
      </c>
      <c r="B14" s="40" t="s">
        <v>139</v>
      </c>
      <c r="C14" s="41">
        <f>SUM(D14:X14)</f>
        <v>284.97000182400001</v>
      </c>
      <c r="D14" s="40">
        <f>借款还本付息计划表!D9+借款还本付息计划表!D13</f>
        <v>0</v>
      </c>
      <c r="E14" s="41">
        <f>借款还本付息计划表!E9+借款还本付息计划表!E13</f>
        <v>51.349333967999996</v>
      </c>
      <c r="F14" s="41">
        <f>借款还本付息计划表!F9+借款还本付息计划表!F13</f>
        <v>46.231977571200005</v>
      </c>
      <c r="G14" s="41">
        <f>借款还本付息计划表!G9+借款还本付息计划表!G13</f>
        <v>41.1146211744</v>
      </c>
      <c r="H14" s="41">
        <f>借款还本付息计划表!H9+借款还本付息计划表!H13</f>
        <v>35.997264777600002</v>
      </c>
      <c r="I14" s="41">
        <f>借款还本付息计划表!I9+借款还本付息计划表!I13</f>
        <v>30.8799083808</v>
      </c>
      <c r="J14" s="41">
        <f>借款还本付息计划表!J9+借款还本付息计划表!J13</f>
        <v>25.762551983999998</v>
      </c>
      <c r="K14" s="41">
        <f>借款还本付息计划表!K9+借款还本付息计划表!K13</f>
        <v>20.6451955872</v>
      </c>
      <c r="L14" s="41">
        <f>借款还本付息计划表!L9+借款还本付息计划表!L13</f>
        <v>15.5278391904</v>
      </c>
      <c r="M14" s="41">
        <f>借款还本付息计划表!M9+借款还本付息计划表!M13</f>
        <v>10.4104827936</v>
      </c>
      <c r="N14" s="41">
        <f>借款还本付息计划表!N9+借款还本付息计划表!N13</f>
        <v>5.2931263968000017</v>
      </c>
      <c r="O14" s="41">
        <f>借款还本付息计划表!O9+借款还本付息计划表!O13</f>
        <v>0.17576999999999995</v>
      </c>
      <c r="P14" s="41">
        <f>借款还本付息计划表!P9+借款还本付息计划表!P13</f>
        <v>0.17576999999999995</v>
      </c>
      <c r="Q14" s="41">
        <f>借款还本付息计划表!Q9+借款还本付息计划表!Q13</f>
        <v>0.17576999999999995</v>
      </c>
      <c r="R14" s="41">
        <f>借款还本付息计划表!R9+借款还本付息计划表!R13</f>
        <v>0.17576999999999995</v>
      </c>
      <c r="S14" s="41">
        <f>借款还本付息计划表!S9+借款还本付息计划表!S13</f>
        <v>0.17576999999999995</v>
      </c>
      <c r="T14" s="41">
        <f>借款还本付息计划表!T9+借款还本付息计划表!T13</f>
        <v>0.17576999999999995</v>
      </c>
      <c r="U14" s="41">
        <f>借款还本付息计划表!U9+借款还本付息计划表!U13</f>
        <v>0.17576999999999995</v>
      </c>
      <c r="V14" s="41">
        <f>借款还本付息计划表!V9+借款还本付息计划表!V13</f>
        <v>0.17576999999999995</v>
      </c>
      <c r="W14" s="41">
        <f>借款还本付息计划表!W9+借款还本付息计划表!W13</f>
        <v>0.17576999999999995</v>
      </c>
      <c r="X14" s="41">
        <f>借款还本付息计划表!X9+借款还本付息计划表!X13</f>
        <v>0.17576999999999995</v>
      </c>
    </row>
    <row r="15" spans="1:24">
      <c r="A15" s="40">
        <v>2.4</v>
      </c>
      <c r="B15" s="40" t="s">
        <v>51</v>
      </c>
      <c r="C15" s="41">
        <f>SUM(D15:X15)</f>
        <v>1143.9467930092414</v>
      </c>
      <c r="D15" s="41">
        <f>总成本费用估算表!D25</f>
        <v>0</v>
      </c>
      <c r="E15" s="41">
        <f>总成本费用估算表!E25</f>
        <v>55.674057011427273</v>
      </c>
      <c r="F15" s="41">
        <f>总成本费用估算表!F25</f>
        <v>55.505863026240739</v>
      </c>
      <c r="G15" s="41">
        <f>总成本费用估算表!G25</f>
        <v>55.337669041054198</v>
      </c>
      <c r="H15" s="41">
        <f>总成本费用估算表!H25</f>
        <v>55.169475055867657</v>
      </c>
      <c r="I15" s="41">
        <f>总成本费用估算表!I25</f>
        <v>55.001281070681124</v>
      </c>
      <c r="J15" s="41">
        <f>总成本费用估算表!J25</f>
        <v>58.994587749903793</v>
      </c>
      <c r="K15" s="41">
        <f>总成本费用估算表!K25</f>
        <v>58.826393764717253</v>
      </c>
      <c r="L15" s="41">
        <f>总成本费用估算表!L25</f>
        <v>58.658199779530712</v>
      </c>
      <c r="M15" s="41">
        <f>总成本费用估算表!M25</f>
        <v>58.490005794344178</v>
      </c>
      <c r="N15" s="41">
        <f>总成本费用估算表!N25</f>
        <v>58.321811809157637</v>
      </c>
      <c r="O15" s="41">
        <f>总成本费用估算表!O25</f>
        <v>58.153617823971096</v>
      </c>
      <c r="P15" s="41">
        <f>总成本费用估算表!P25</f>
        <v>57.985423838784563</v>
      </c>
      <c r="Q15" s="41">
        <f>总成本费用估算表!Q25</f>
        <v>57.817229853598022</v>
      </c>
      <c r="R15" s="41">
        <f>总成本费用估算表!R25</f>
        <v>57.649035868411481</v>
      </c>
      <c r="S15" s="41">
        <f>总成本费用估算表!S25</f>
        <v>57.48084188322494</v>
      </c>
      <c r="T15" s="41">
        <f>总成本费用估算表!T25</f>
        <v>57.312647898038406</v>
      </c>
      <c r="U15" s="41">
        <f>总成本费用估算表!U25</f>
        <v>57.144453912851866</v>
      </c>
      <c r="V15" s="41">
        <f>总成本费用估算表!V25</f>
        <v>56.976259927665325</v>
      </c>
      <c r="W15" s="41">
        <f>总成本费用估算表!W25</f>
        <v>56.808065942478784</v>
      </c>
      <c r="X15" s="41">
        <f>总成本费用估算表!X25</f>
        <v>56.63987195729225</v>
      </c>
    </row>
    <row r="16" spans="1:24">
      <c r="A16" s="40">
        <v>2.5</v>
      </c>
      <c r="B16" s="40" t="s">
        <v>55</v>
      </c>
      <c r="C16" s="41">
        <f>SUM(D16:X17)</f>
        <v>347.12433826670423</v>
      </c>
      <c r="D16" s="40">
        <f>财务计划现金流量表!D14</f>
        <v>0</v>
      </c>
      <c r="E16" s="40">
        <f>财务计划现金流量表!E14</f>
        <v>0</v>
      </c>
      <c r="F16" s="40">
        <f>财务计划现金流量表!F14</f>
        <v>0</v>
      </c>
      <c r="G16" s="40">
        <f>财务计划现金流量表!G14</f>
        <v>0</v>
      </c>
      <c r="H16" s="40">
        <f>财务计划现金流量表!H14</f>
        <v>0</v>
      </c>
      <c r="I16" s="40">
        <f>财务计划现金流量表!I14</f>
        <v>0</v>
      </c>
      <c r="J16" s="41">
        <f>财务计划现金流量表!J14</f>
        <v>3.6893755011914164</v>
      </c>
      <c r="K16" s="41">
        <f>财务计划现金流量表!K14</f>
        <v>3.3852430625989403</v>
      </c>
      <c r="L16" s="41">
        <f>财务计划现金流量表!L14</f>
        <v>3.3692581793023031</v>
      </c>
      <c r="M16" s="41">
        <f>财务计划现金流量表!M14</f>
        <v>3.3532732960056659</v>
      </c>
      <c r="N16" s="41">
        <f>财务计划现金流量表!N14</f>
        <v>3.3372884127090288</v>
      </c>
      <c r="O16" s="41">
        <f>财务计划现金流量表!O14</f>
        <v>3.3213035294123925</v>
      </c>
      <c r="P16" s="41">
        <f>财务计划现金流量表!P14</f>
        <v>3.3053186461157553</v>
      </c>
      <c r="Q16" s="41">
        <f>财务计划现金流量表!Q14</f>
        <v>3.2893337628191182</v>
      </c>
      <c r="R16" s="41">
        <f>财务计划现金流量表!R14</f>
        <v>3.273348879522481</v>
      </c>
      <c r="S16" s="41">
        <f>财务计划现金流量表!S14</f>
        <v>3.2573639962258447</v>
      </c>
      <c r="T16" s="41">
        <f>财务计划现金流量表!T14</f>
        <v>3.2413791129292076</v>
      </c>
      <c r="U16" s="41">
        <f>财务计划现金流量表!U14</f>
        <v>3.2253942296325704</v>
      </c>
      <c r="V16" s="41">
        <f>财务计划现金流量表!V14</f>
        <v>3.2094093463359332</v>
      </c>
      <c r="W16" s="41">
        <f>财务计划现金流量表!W14</f>
        <v>3.1934244630392961</v>
      </c>
      <c r="X16" s="41">
        <f>财务计划现金流量表!X14</f>
        <v>3.1774395797426589</v>
      </c>
    </row>
    <row r="17" spans="1:24">
      <c r="A17" s="40">
        <v>2.6</v>
      </c>
      <c r="B17" s="40" t="s">
        <v>62</v>
      </c>
      <c r="C17" s="41">
        <f>SUM(D17:X17)</f>
        <v>297.49618426912161</v>
      </c>
      <c r="D17" s="40">
        <f>财务计划现金流量表!D16</f>
        <v>0</v>
      </c>
      <c r="E17" s="40">
        <f>财务计划现金流量表!E16</f>
        <v>0</v>
      </c>
      <c r="F17" s="40">
        <f>财务计划现金流量表!F16</f>
        <v>0</v>
      </c>
      <c r="G17" s="40">
        <f>财务计划现金流量表!G16</f>
        <v>0</v>
      </c>
      <c r="H17" s="41">
        <f>财务计划现金流量表!H16</f>
        <v>7.70405531668872</v>
      </c>
      <c r="I17" s="41">
        <f>财务计划现金流量表!I16</f>
        <v>8.2366651136627063</v>
      </c>
      <c r="J17" s="41">
        <f>财务计划现金流量表!J16</f>
        <v>7.7879153899366109</v>
      </c>
      <c r="K17" s="41">
        <f>财务计划现金流量表!K16</f>
        <v>16.717083483469303</v>
      </c>
      <c r="L17" s="41">
        <f>财务计划现金流量表!L16</f>
        <v>17.786299298241431</v>
      </c>
      <c r="M17" s="41">
        <f>财务计划现金流量表!M16</f>
        <v>18.855515113013546</v>
      </c>
      <c r="N17" s="41">
        <f>财务计划现金流量表!N16</f>
        <v>19.924730927785674</v>
      </c>
      <c r="O17" s="41">
        <f>财务计划现金流量表!O16</f>
        <v>20.993946742557799</v>
      </c>
      <c r="P17" s="41">
        <f>财务计划现金流量表!P16</f>
        <v>20.78382345812993</v>
      </c>
      <c r="Q17" s="41">
        <f>财务计划现金流量表!Q16</f>
        <v>20.573700173702044</v>
      </c>
      <c r="R17" s="41">
        <f>财务计划现金流量表!R16</f>
        <v>20.363576889274174</v>
      </c>
      <c r="S17" s="41">
        <f>财务计划现金流量表!S16</f>
        <v>20.153453604846298</v>
      </c>
      <c r="T17" s="41">
        <f>财务计划现金流量表!T16</f>
        <v>19.943330320418426</v>
      </c>
      <c r="U17" s="41">
        <f>财务计划现金流量表!U16</f>
        <v>19.733207035990549</v>
      </c>
      <c r="V17" s="41">
        <f>财务计划现金流量表!V16</f>
        <v>19.523083751562659</v>
      </c>
      <c r="W17" s="41">
        <f>财务计划现金流量表!W16</f>
        <v>19.312960467134793</v>
      </c>
      <c r="X17" s="41">
        <f>财务计划现金流量表!X16</f>
        <v>19.10283718270691</v>
      </c>
    </row>
    <row r="18" spans="1:24">
      <c r="A18" s="40">
        <v>3</v>
      </c>
      <c r="B18" s="40" t="s">
        <v>140</v>
      </c>
      <c r="C18" s="41">
        <f>SUM(D18:X18)</f>
        <v>1146.7351534342949</v>
      </c>
      <c r="D18" s="41">
        <f>D5-D11</f>
        <v>-305.69632000000001</v>
      </c>
      <c r="E18" s="41">
        <f t="shared" ref="E18:X18" si="3">E5-E11</f>
        <v>21.058476500572766</v>
      </c>
      <c r="F18" s="41">
        <f t="shared" si="3"/>
        <v>26.986147515559253</v>
      </c>
      <c r="G18" s="41">
        <f t="shared" si="3"/>
        <v>31.113818530545899</v>
      </c>
      <c r="H18" s="41">
        <f t="shared" si="3"/>
        <v>27.537434228843722</v>
      </c>
      <c r="I18" s="41">
        <f t="shared" si="3"/>
        <v>31.132495446856268</v>
      </c>
      <c r="J18" s="41">
        <f t="shared" si="3"/>
        <v>-2.8867558232934982</v>
      </c>
      <c r="K18" s="41">
        <f t="shared" si="3"/>
        <v>-4.8496834749765299</v>
      </c>
      <c r="L18" s="41">
        <f t="shared" si="3"/>
        <v>-1.6420360306601651</v>
      </c>
      <c r="M18" s="41">
        <f t="shared" si="3"/>
        <v>1.5656114136561996</v>
      </c>
      <c r="N18" s="41">
        <f t="shared" si="3"/>
        <v>4.7732588579725643</v>
      </c>
      <c r="O18" s="41">
        <f t="shared" si="3"/>
        <v>130.25943430228898</v>
      </c>
      <c r="P18" s="41">
        <f t="shared" si="3"/>
        <v>129.62906444900534</v>
      </c>
      <c r="Q18" s="41">
        <f t="shared" si="3"/>
        <v>128.9986945957217</v>
      </c>
      <c r="R18" s="41">
        <f t="shared" si="3"/>
        <v>128.36832474243806</v>
      </c>
      <c r="S18" s="41">
        <f t="shared" si="3"/>
        <v>127.73795488915445</v>
      </c>
      <c r="T18" s="41">
        <f t="shared" si="3"/>
        <v>127.10758503587081</v>
      </c>
      <c r="U18" s="41">
        <f t="shared" si="3"/>
        <v>126.4772151825872</v>
      </c>
      <c r="V18" s="41">
        <f t="shared" si="3"/>
        <v>125.84684532930356</v>
      </c>
      <c r="W18" s="41">
        <f t="shared" si="3"/>
        <v>125.21647547601992</v>
      </c>
      <c r="X18" s="41">
        <f t="shared" si="3"/>
        <v>168.00111226682844</v>
      </c>
    </row>
  </sheetData>
  <sheetProtection password="C6BB" sheet="1" objects="1" scenarios="1"/>
  <mergeCells count="6">
    <mergeCell ref="A1:X2"/>
    <mergeCell ref="A3:A4"/>
    <mergeCell ref="B3:B4"/>
    <mergeCell ref="C3:C4"/>
    <mergeCell ref="E3:M3"/>
    <mergeCell ref="N3:X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L34" sqref="L34"/>
    </sheetView>
  </sheetViews>
  <sheetFormatPr defaultRowHeight="13.5"/>
  <cols>
    <col min="1" max="1" width="7.75" customWidth="1"/>
    <col min="2" max="2" width="12.375" customWidth="1"/>
    <col min="3" max="3" width="11.375" bestFit="1" customWidth="1"/>
    <col min="4" max="23" width="11.25" bestFit="1" customWidth="1"/>
  </cols>
  <sheetData>
    <row r="1" spans="1:23">
      <c r="A1" s="90" t="s">
        <v>296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>
      <c r="A3" s="91" t="s">
        <v>0</v>
      </c>
      <c r="B3" s="91" t="s">
        <v>11</v>
      </c>
      <c r="C3" s="39" t="s">
        <v>38</v>
      </c>
      <c r="D3" s="91" t="s">
        <v>39</v>
      </c>
      <c r="E3" s="91"/>
      <c r="F3" s="91"/>
      <c r="G3" s="91"/>
      <c r="H3" s="91"/>
      <c r="I3" s="91"/>
      <c r="J3" s="91"/>
      <c r="K3" s="91"/>
      <c r="L3" s="91"/>
      <c r="M3" s="91" t="s">
        <v>39</v>
      </c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>
      <c r="A4" s="91"/>
      <c r="B4" s="91"/>
      <c r="C4" s="39" t="s">
        <v>40</v>
      </c>
      <c r="D4" s="39" t="s">
        <v>41</v>
      </c>
      <c r="E4" s="39" t="s">
        <v>42</v>
      </c>
      <c r="F4" s="39" t="s">
        <v>43</v>
      </c>
      <c r="G4" s="39" t="s">
        <v>44</v>
      </c>
      <c r="H4" s="39" t="s">
        <v>45</v>
      </c>
      <c r="I4" s="39" t="s">
        <v>46</v>
      </c>
      <c r="J4" s="39" t="s">
        <v>47</v>
      </c>
      <c r="K4" s="39" t="s">
        <v>48</v>
      </c>
      <c r="L4" s="39" t="s">
        <v>49</v>
      </c>
      <c r="M4" s="39" t="s">
        <v>244</v>
      </c>
      <c r="N4" s="39" t="s">
        <v>245</v>
      </c>
      <c r="O4" s="39" t="s">
        <v>246</v>
      </c>
      <c r="P4" s="39" t="s">
        <v>247</v>
      </c>
      <c r="Q4" s="39" t="s">
        <v>248</v>
      </c>
      <c r="R4" s="39" t="s">
        <v>249</v>
      </c>
      <c r="S4" s="39" t="s">
        <v>250</v>
      </c>
      <c r="T4" s="39" t="s">
        <v>251</v>
      </c>
      <c r="U4" s="39" t="s">
        <v>252</v>
      </c>
      <c r="V4" s="39" t="s">
        <v>253</v>
      </c>
      <c r="W4" s="39" t="s">
        <v>254</v>
      </c>
    </row>
    <row r="5" spans="1:23">
      <c r="A5" s="40">
        <v>1</v>
      </c>
      <c r="B5" s="40" t="s">
        <v>141</v>
      </c>
      <c r="C5" s="41">
        <f>C6+C9+C10+C11+C12</f>
        <v>1528.4816000000001</v>
      </c>
      <c r="D5" s="41">
        <f t="shared" ref="D5:W5" si="0">D6+D9+D10+D11+D12</f>
        <v>1461.0528794061345</v>
      </c>
      <c r="E5" s="41">
        <f t="shared" si="0"/>
        <v>1391.8850371880603</v>
      </c>
      <c r="F5" s="41">
        <f t="shared" si="0"/>
        <v>1326.9780733457783</v>
      </c>
      <c r="G5" s="41">
        <f t="shared" si="0"/>
        <v>1258.6279325625994</v>
      </c>
      <c r="H5" s="41">
        <f t="shared" si="0"/>
        <v>1194.0060603582385</v>
      </c>
      <c r="I5" s="41">
        <f t="shared" si="0"/>
        <v>1126.2429400877945</v>
      </c>
      <c r="J5" s="41">
        <f t="shared" si="0"/>
        <v>1054.1156625382025</v>
      </c>
      <c r="K5" s="41">
        <f t="shared" si="0"/>
        <v>985.19603243292693</v>
      </c>
      <c r="L5" s="41">
        <f t="shared" si="0"/>
        <v>919.48404977196753</v>
      </c>
      <c r="M5" s="41">
        <f t="shared" si="0"/>
        <v>856.97971455532456</v>
      </c>
      <c r="N5" s="41">
        <f t="shared" si="0"/>
        <v>919.96155478299806</v>
      </c>
      <c r="O5" s="41">
        <f t="shared" si="0"/>
        <v>982.31302515738776</v>
      </c>
      <c r="P5" s="41">
        <f t="shared" si="0"/>
        <v>1044.0341256784941</v>
      </c>
      <c r="Q5" s="41">
        <f t="shared" si="0"/>
        <v>1105.1248563463164</v>
      </c>
      <c r="R5" s="41">
        <f t="shared" si="0"/>
        <v>1165.5852171608553</v>
      </c>
      <c r="S5" s="41">
        <f t="shared" si="0"/>
        <v>1225.4152081221107</v>
      </c>
      <c r="T5" s="41">
        <f t="shared" si="0"/>
        <v>1284.6148292300823</v>
      </c>
      <c r="U5" s="41">
        <f t="shared" si="0"/>
        <v>1343.1840804847702</v>
      </c>
      <c r="V5" s="41">
        <f t="shared" si="0"/>
        <v>1401.1229618861746</v>
      </c>
      <c r="W5" s="41">
        <f t="shared" si="0"/>
        <v>1454.2314734342954</v>
      </c>
    </row>
    <row r="6" spans="1:23">
      <c r="A6" s="40">
        <v>1.1000000000000001</v>
      </c>
      <c r="B6" s="40" t="s">
        <v>142</v>
      </c>
      <c r="C6" s="41">
        <f>C7+C8</f>
        <v>0</v>
      </c>
      <c r="D6" s="41">
        <f t="shared" ref="D6:W6" si="1">D7+D8</f>
        <v>28.858476500572777</v>
      </c>
      <c r="E6" s="41">
        <f t="shared" si="1"/>
        <v>55.84462401613203</v>
      </c>
      <c r="F6" s="41">
        <f t="shared" si="1"/>
        <v>86.958442546677929</v>
      </c>
      <c r="G6" s="41">
        <f t="shared" si="1"/>
        <v>114.49587677552162</v>
      </c>
      <c r="H6" s="41">
        <f t="shared" si="1"/>
        <v>145.62837222237789</v>
      </c>
      <c r="I6" s="41">
        <f t="shared" si="1"/>
        <v>142.74161639908436</v>
      </c>
      <c r="J6" s="41">
        <f t="shared" si="1"/>
        <v>137.89193292410783</v>
      </c>
      <c r="K6" s="41">
        <f t="shared" si="1"/>
        <v>136.2498968934477</v>
      </c>
      <c r="L6" s="41">
        <f t="shared" si="1"/>
        <v>137.81550830710387</v>
      </c>
      <c r="M6" s="41">
        <f t="shared" si="1"/>
        <v>142.58876716507643</v>
      </c>
      <c r="N6" s="41">
        <f t="shared" si="1"/>
        <v>272.84820146736541</v>
      </c>
      <c r="O6" s="41">
        <f t="shared" si="1"/>
        <v>402.47726591637075</v>
      </c>
      <c r="P6" s="41">
        <f t="shared" si="1"/>
        <v>531.47596051209246</v>
      </c>
      <c r="Q6" s="41">
        <f t="shared" si="1"/>
        <v>659.84428525453052</v>
      </c>
      <c r="R6" s="41">
        <f t="shared" si="1"/>
        <v>787.582240143685</v>
      </c>
      <c r="S6" s="41">
        <f t="shared" si="1"/>
        <v>914.68982517955578</v>
      </c>
      <c r="T6" s="41">
        <f t="shared" si="1"/>
        <v>1041.1670403621429</v>
      </c>
      <c r="U6" s="41">
        <f t="shared" si="1"/>
        <v>1167.0138856914464</v>
      </c>
      <c r="V6" s="41">
        <f t="shared" si="1"/>
        <v>1292.2303611674663</v>
      </c>
      <c r="W6" s="41">
        <f t="shared" si="1"/>
        <v>1412.6164667902026</v>
      </c>
    </row>
    <row r="7" spans="1:23">
      <c r="A7" s="40" t="s">
        <v>92</v>
      </c>
      <c r="B7" s="40" t="s">
        <v>127</v>
      </c>
      <c r="C7" s="41">
        <f>财务计划现金流量表!D38</f>
        <v>0</v>
      </c>
      <c r="D7" s="41">
        <f>财务计划现金流量表!E38</f>
        <v>22.858476500572777</v>
      </c>
      <c r="E7" s="41">
        <f>财务计划现金流量表!F38</f>
        <v>49.84462401613203</v>
      </c>
      <c r="F7" s="41">
        <f>财务计划现金流量表!G38</f>
        <v>80.958442546677929</v>
      </c>
      <c r="G7" s="41">
        <f>财务计划现金流量表!H38</f>
        <v>108.49587677552162</v>
      </c>
      <c r="H7" s="41">
        <f>财务计划现金流量表!I38</f>
        <v>139.62837222237789</v>
      </c>
      <c r="I7" s="41">
        <f>财务计划现金流量表!J38</f>
        <v>136.74161639908436</v>
      </c>
      <c r="J7" s="41">
        <f>财务计划现金流量表!K38</f>
        <v>131.89193292410783</v>
      </c>
      <c r="K7" s="41">
        <f>财务计划现金流量表!L38</f>
        <v>130.2498968934477</v>
      </c>
      <c r="L7" s="41">
        <f>财务计划现金流量表!M38</f>
        <v>131.81550830710387</v>
      </c>
      <c r="M7" s="41">
        <f>财务计划现金流量表!N38</f>
        <v>136.58876716507643</v>
      </c>
      <c r="N7" s="41">
        <f>财务计划现金流量表!O38</f>
        <v>266.84820146736541</v>
      </c>
      <c r="O7" s="41">
        <f>财务计划现金流量表!P38</f>
        <v>396.47726591637075</v>
      </c>
      <c r="P7" s="41">
        <f>财务计划现金流量表!Q38</f>
        <v>525.47596051209246</v>
      </c>
      <c r="Q7" s="41">
        <f>财务计划现金流量表!R38</f>
        <v>653.84428525453052</v>
      </c>
      <c r="R7" s="41">
        <f>财务计划现金流量表!S38</f>
        <v>781.582240143685</v>
      </c>
      <c r="S7" s="41">
        <f>财务计划现金流量表!T38</f>
        <v>908.68982517955578</v>
      </c>
      <c r="T7" s="41">
        <f>财务计划现金流量表!U38</f>
        <v>1035.1670403621429</v>
      </c>
      <c r="U7" s="41">
        <f>财务计划现金流量表!V38</f>
        <v>1161.0138856914464</v>
      </c>
      <c r="V7" s="41">
        <f>财务计划现金流量表!W38</f>
        <v>1286.2303611674663</v>
      </c>
      <c r="W7" s="41">
        <f>财务计划现金流量表!X38</f>
        <v>1406.6164667902026</v>
      </c>
    </row>
    <row r="8" spans="1:23">
      <c r="A8" s="40" t="s">
        <v>93</v>
      </c>
      <c r="B8" s="40" t="s">
        <v>143</v>
      </c>
      <c r="C8" s="40">
        <v>0</v>
      </c>
      <c r="D8" s="41">
        <f>项目总投资资金筹措计划表!E8</f>
        <v>6</v>
      </c>
      <c r="E8" s="41">
        <f>D8</f>
        <v>6</v>
      </c>
      <c r="F8" s="41">
        <f>D8</f>
        <v>6</v>
      </c>
      <c r="G8" s="41">
        <f>D8</f>
        <v>6</v>
      </c>
      <c r="H8" s="41">
        <f>D8</f>
        <v>6</v>
      </c>
      <c r="I8" s="41">
        <f>D8</f>
        <v>6</v>
      </c>
      <c r="J8" s="41">
        <f>D8</f>
        <v>6</v>
      </c>
      <c r="K8" s="41">
        <f>D8</f>
        <v>6</v>
      </c>
      <c r="L8" s="41">
        <f>D8</f>
        <v>6</v>
      </c>
      <c r="M8" s="41">
        <f>D8</f>
        <v>6</v>
      </c>
      <c r="N8" s="41">
        <f>D8</f>
        <v>6</v>
      </c>
      <c r="O8" s="41">
        <f>D8</f>
        <v>6</v>
      </c>
      <c r="P8" s="41">
        <f>D8</f>
        <v>6</v>
      </c>
      <c r="Q8" s="41">
        <f>D8</f>
        <v>6</v>
      </c>
      <c r="R8" s="41">
        <f>D8</f>
        <v>6</v>
      </c>
      <c r="S8" s="41">
        <f>D8</f>
        <v>6</v>
      </c>
      <c r="T8" s="41">
        <f>D8</f>
        <v>6</v>
      </c>
      <c r="U8" s="41">
        <f>D8</f>
        <v>6</v>
      </c>
      <c r="V8" s="41">
        <f>D8</f>
        <v>6</v>
      </c>
      <c r="W8" s="41">
        <f>D8</f>
        <v>6</v>
      </c>
    </row>
    <row r="9" spans="1:23">
      <c r="A9" s="40">
        <v>1.2</v>
      </c>
      <c r="B9" s="40" t="s">
        <v>144</v>
      </c>
      <c r="C9" s="41">
        <f>项目总投资资金筹措计划表!D9</f>
        <v>1528.4816000000001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</row>
    <row r="10" spans="1:23">
      <c r="A10" s="40">
        <v>1.3</v>
      </c>
      <c r="B10" s="40" t="s">
        <v>145</v>
      </c>
      <c r="C10" s="41">
        <f>总成本费用估算表!D16</f>
        <v>0</v>
      </c>
      <c r="D10" s="41">
        <f>总成本费用估算表!E16</f>
        <v>1319.889294061788</v>
      </c>
      <c r="E10" s="41">
        <f>总成本费用估算表!F16</f>
        <v>1252.6116999871724</v>
      </c>
      <c r="F10" s="41">
        <f>总成本费用估算表!G16</f>
        <v>1185.3341059125569</v>
      </c>
      <c r="G10" s="41">
        <f>总成本费用估算表!H16</f>
        <v>1118.0565118379413</v>
      </c>
      <c r="H10" s="41">
        <f>总成本费用估算表!I16</f>
        <v>1050.7789177633258</v>
      </c>
      <c r="I10" s="41">
        <f>总成本费用估算表!J16</f>
        <v>983.50132368871027</v>
      </c>
      <c r="J10" s="41">
        <f>总成本费用估算表!K16</f>
        <v>916.22372961409474</v>
      </c>
      <c r="K10" s="41">
        <f>总成本费用估算表!L16</f>
        <v>848.9461355394792</v>
      </c>
      <c r="L10" s="41">
        <f>总成本费用估算表!M16</f>
        <v>781.66854146486367</v>
      </c>
      <c r="M10" s="41">
        <f>总成本费用估算表!N16</f>
        <v>714.39094739024813</v>
      </c>
      <c r="N10" s="41">
        <f>总成本费用估算表!O16</f>
        <v>647.11335331563259</v>
      </c>
      <c r="O10" s="41">
        <f>总成本费用估算表!P16</f>
        <v>579.83575924101706</v>
      </c>
      <c r="P10" s="41">
        <f>总成本费用估算表!Q16</f>
        <v>512.55816516640152</v>
      </c>
      <c r="Q10" s="41">
        <f>总成本费用估算表!R16</f>
        <v>445.28057109178599</v>
      </c>
      <c r="R10" s="41">
        <f>总成本费用估算表!S16</f>
        <v>378.00297701717045</v>
      </c>
      <c r="S10" s="41">
        <f>总成本费用估算表!T16</f>
        <v>310.72538294255492</v>
      </c>
      <c r="T10" s="41">
        <f>总成本费用估算表!U16</f>
        <v>243.44778886793935</v>
      </c>
      <c r="U10" s="41">
        <f>总成本费用估算表!V16</f>
        <v>176.17019479332379</v>
      </c>
      <c r="V10" s="41">
        <f>总成本费用估算表!W16</f>
        <v>108.89260071870822</v>
      </c>
      <c r="W10" s="41">
        <f>总成本费用估算表!X16</f>
        <v>41.615006644092659</v>
      </c>
    </row>
    <row r="11" spans="1:23" ht="24">
      <c r="A11" s="40">
        <v>1.4</v>
      </c>
      <c r="B11" s="40" t="s">
        <v>146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</row>
    <row r="12" spans="1:23" ht="24">
      <c r="A12" s="40">
        <v>1.5</v>
      </c>
      <c r="B12" s="40" t="s">
        <v>147</v>
      </c>
      <c r="C12" s="40">
        <f>项目资本金现金流量表!D8</f>
        <v>0</v>
      </c>
      <c r="D12" s="41">
        <f>项目资本金现金流量表!C8-项目资本金现金流量表!E8</f>
        <v>112.30510884377365</v>
      </c>
      <c r="E12" s="41">
        <f>项目资本金现金流量表!C8-项目资本金现金流量表!E8-项目资本金现金流量表!F8</f>
        <v>83.428713184755949</v>
      </c>
      <c r="F12" s="41">
        <f>项目资本金现金流量表!C8-项目资本金现金流量表!E8-项目资本金现金流量表!F8-项目资本金现金流量表!G8</f>
        <v>54.685524886543547</v>
      </c>
      <c r="G12" s="41">
        <f>项目资本金现金流量表!C8-项目资本金现金流量表!E8-项目资本金现金流量表!F8-项目资本金现金流量表!G8-项目资本金现金流量表!H8</f>
        <v>26.07554394913646</v>
      </c>
      <c r="H12" s="41">
        <f>项目资本金现金流量表!C8-项目资本金现金流量表!E8-项目资本金现金流量表!F8-项目资本金现金流量表!G8-项目资本金现金流量表!H8-项目资本金现金流量表!I8</f>
        <v>-2.4012296274653231</v>
      </c>
      <c r="I12" s="41">
        <f>项目资本金现金流量表!C8-项目资本金现金流量表!E8-项目资本金现金流量表!F8-项目资本金现金流量表!G8-项目资本金现金流量表!H8-项目资本金现金流量表!I8-项目资本金现金流量表!J8</f>
        <v>0</v>
      </c>
      <c r="J12" s="41">
        <f>项目资本金现金流量表!C8-项目资本金现金流量表!E8-项目资本金现金流量表!F8-项目资本金现金流量表!G8-项目资本金现金流量表!H8-项目资本金现金流量表!I8-项目资本金现金流量表!J8-项目资本金现金流量表!K8</f>
        <v>0</v>
      </c>
      <c r="K12" s="41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f>项目资本金现金流量表!K8-项目资本金现金流量表!M8-项目资本金现金流量表!N8-项目资本金现金流量表!O8-项目资本金现金流量表!P8-项目资本金现金流量表!Q8-项目资本金现金流量表!R8-项目资本金现金流量表!S8</f>
        <v>0</v>
      </c>
      <c r="S12" s="58">
        <f>项目资本金现金流量表!L8-项目资本金现金流量表!N8-项目资本金现金流量表!O8-项目资本金现金流量表!P8-项目资本金现金流量表!Q8-项目资本金现金流量表!R8-项目资本金现金流量表!S8-项目资本金现金流量表!T8</f>
        <v>0</v>
      </c>
      <c r="T12" s="58">
        <f>项目资本金现金流量表!M8-项目资本金现金流量表!O8-项目资本金现金流量表!P8-项目资本金现金流量表!Q8-项目资本金现金流量表!R8-项目资本金现金流量表!S8-项目资本金现金流量表!T8-项目资本金现金流量表!U8</f>
        <v>0</v>
      </c>
      <c r="U12" s="58">
        <f>项目资本金现金流量表!N8-项目资本金现金流量表!P8-项目资本金现金流量表!Q8-项目资本金现金流量表!R8-项目资本金现金流量表!S8-项目资本金现金流量表!T8-项目资本金现金流量表!U8-项目资本金现金流量表!V8</f>
        <v>0</v>
      </c>
      <c r="V12" s="58">
        <f>项目资本金现金流量表!O8-项目资本金现金流量表!Q8-项目资本金现金流量表!R8-项目资本金现金流量表!S8-项目资本金现金流量表!T8-项目资本金现金流量表!U8-项目资本金现金流量表!V8-项目资本金现金流量表!W8</f>
        <v>0</v>
      </c>
      <c r="W12" s="58">
        <f>项目资本金现金流量表!P8-项目资本金现金流量表!R8-项目资本金现金流量表!S8-项目资本金现金流量表!T8-项目资本金现金流量表!U8-项目资本金现金流量表!V8-项目资本金现金流量表!W8-项目资本金现金流量表!X8</f>
        <v>0</v>
      </c>
    </row>
    <row r="13" spans="1:23" ht="24">
      <c r="A13" s="40">
        <v>2</v>
      </c>
      <c r="B13" s="40" t="s">
        <v>148</v>
      </c>
      <c r="C13" s="41">
        <f>C19+C20</f>
        <v>1528.4816000000001</v>
      </c>
      <c r="D13" s="41">
        <f t="shared" ref="D13:W13" si="2">D19+D20</f>
        <v>1459.2528794061343</v>
      </c>
      <c r="E13" s="41">
        <f t="shared" si="2"/>
        <v>1390.0850371880601</v>
      </c>
      <c r="F13" s="41">
        <f t="shared" si="2"/>
        <v>1325.1780733457781</v>
      </c>
      <c r="G13" s="41">
        <f t="shared" si="2"/>
        <v>1256.827932562599</v>
      </c>
      <c r="H13" s="41">
        <f t="shared" si="2"/>
        <v>1192.2060603582381</v>
      </c>
      <c r="I13" s="41">
        <f t="shared" si="2"/>
        <v>1124.4429400877941</v>
      </c>
      <c r="J13" s="41">
        <f t="shared" si="2"/>
        <v>1052.3156625382021</v>
      </c>
      <c r="K13" s="41">
        <f t="shared" si="2"/>
        <v>983.39603243292629</v>
      </c>
      <c r="L13" s="41">
        <f t="shared" si="2"/>
        <v>917.68404977196701</v>
      </c>
      <c r="M13" s="41">
        <f t="shared" si="2"/>
        <v>855.17971455532404</v>
      </c>
      <c r="N13" s="41">
        <f t="shared" si="2"/>
        <v>918.16155478299743</v>
      </c>
      <c r="O13" s="41">
        <f t="shared" si="2"/>
        <v>980.51302515738712</v>
      </c>
      <c r="P13" s="41">
        <f t="shared" si="2"/>
        <v>1042.2341256784932</v>
      </c>
      <c r="Q13" s="41">
        <f t="shared" si="2"/>
        <v>1103.3248563463158</v>
      </c>
      <c r="R13" s="41">
        <f t="shared" si="2"/>
        <v>1163.7852171608547</v>
      </c>
      <c r="S13" s="41">
        <f t="shared" si="2"/>
        <v>1223.6152081221101</v>
      </c>
      <c r="T13" s="41">
        <f t="shared" si="2"/>
        <v>1282.8148292300816</v>
      </c>
      <c r="U13" s="41">
        <f t="shared" si="2"/>
        <v>1341.3840804847696</v>
      </c>
      <c r="V13" s="41">
        <f t="shared" si="2"/>
        <v>1399.322961886174</v>
      </c>
      <c r="W13" s="41">
        <f t="shared" si="2"/>
        <v>1452.4314734342947</v>
      </c>
    </row>
    <row r="14" spans="1:23">
      <c r="A14" s="40">
        <v>2.1</v>
      </c>
      <c r="B14" s="40" t="s">
        <v>149</v>
      </c>
      <c r="C14" s="40">
        <f>C15+C16</f>
        <v>0</v>
      </c>
      <c r="D14" s="40">
        <f t="shared" ref="D14:W14" si="3">D15+D16</f>
        <v>0</v>
      </c>
      <c r="E14" s="40">
        <f t="shared" si="3"/>
        <v>0</v>
      </c>
      <c r="F14" s="40">
        <f t="shared" si="3"/>
        <v>0</v>
      </c>
      <c r="G14" s="40">
        <f t="shared" si="3"/>
        <v>0</v>
      </c>
      <c r="H14" s="40">
        <f t="shared" si="3"/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0">
        <f t="shared" si="3"/>
        <v>0</v>
      </c>
      <c r="O14" s="40">
        <f t="shared" si="3"/>
        <v>0</v>
      </c>
      <c r="P14" s="40">
        <f t="shared" si="3"/>
        <v>0</v>
      </c>
      <c r="Q14" s="40">
        <f t="shared" si="3"/>
        <v>0</v>
      </c>
      <c r="R14" s="40">
        <f t="shared" si="3"/>
        <v>0</v>
      </c>
      <c r="S14" s="40">
        <f t="shared" si="3"/>
        <v>0</v>
      </c>
      <c r="T14" s="40">
        <f t="shared" si="3"/>
        <v>0</v>
      </c>
      <c r="U14" s="40">
        <f t="shared" si="3"/>
        <v>0</v>
      </c>
      <c r="V14" s="40">
        <f t="shared" si="3"/>
        <v>0</v>
      </c>
      <c r="W14" s="40">
        <f t="shared" si="3"/>
        <v>0</v>
      </c>
    </row>
    <row r="15" spans="1:23">
      <c r="A15" s="40" t="s">
        <v>32</v>
      </c>
      <c r="B15" s="40" t="s">
        <v>150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</row>
    <row r="16" spans="1:23">
      <c r="A16" s="40" t="s">
        <v>33</v>
      </c>
      <c r="B16" s="40" t="s">
        <v>151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</row>
    <row r="17" spans="1:23">
      <c r="A17" s="40">
        <v>2.2000000000000002</v>
      </c>
      <c r="B17" s="40" t="s">
        <v>113</v>
      </c>
      <c r="C17" s="60">
        <f>借款还本付息计划表!E6</f>
        <v>1222.7852800000001</v>
      </c>
      <c r="D17" s="60">
        <f>借款还本付息计划表!F6</f>
        <v>1100.506752</v>
      </c>
      <c r="E17" s="60">
        <f>借款还本付息计划表!G6</f>
        <v>978.22822399999995</v>
      </c>
      <c r="F17" s="60">
        <f>借款还本付息计划表!H6</f>
        <v>855.9496959999999</v>
      </c>
      <c r="G17" s="60">
        <f>借款还本付息计划表!I6</f>
        <v>733.67116799999985</v>
      </c>
      <c r="H17" s="60">
        <f>借款还本付息计划表!J6</f>
        <v>611.3926399999998</v>
      </c>
      <c r="I17" s="60">
        <f>借款还本付息计划表!K6</f>
        <v>489.11411199999981</v>
      </c>
      <c r="J17" s="60">
        <f>借款还本付息计划表!L6</f>
        <v>366.83558399999981</v>
      </c>
      <c r="K17" s="60">
        <f>借款还本付息计划表!M6</f>
        <v>244.55705599999982</v>
      </c>
      <c r="L17" s="60">
        <f>借款还本付息计划表!N6</f>
        <v>122.27852799999981</v>
      </c>
      <c r="M17" s="60">
        <f>借款还本付息计划表!O6</f>
        <v>-1.9895196601282805E-13</v>
      </c>
      <c r="N17" s="40">
        <f>借款还本付息计划表!P6</f>
        <v>-1.9895196601282805E-13</v>
      </c>
      <c r="O17" s="40">
        <f>借款还本付息计划表!Q6</f>
        <v>-1.9895196601282805E-13</v>
      </c>
      <c r="P17" s="40">
        <f>借款还本付息计划表!R6</f>
        <v>-1.9895196601282805E-13</v>
      </c>
      <c r="Q17" s="40">
        <f>借款还本付息计划表!S6</f>
        <v>-1.9895196601282805E-13</v>
      </c>
      <c r="R17" s="40">
        <f>借款还本付息计划表!T6</f>
        <v>-1.9895196601282805E-13</v>
      </c>
      <c r="S17" s="40">
        <f>借款还本付息计划表!U6</f>
        <v>-1.9895196601282805E-13</v>
      </c>
      <c r="T17" s="40">
        <f>借款还本付息计划表!V6</f>
        <v>-1.9895196601282805E-13</v>
      </c>
      <c r="U17" s="40">
        <f>借款还本付息计划表!W6</f>
        <v>-1.9895196601282805E-13</v>
      </c>
      <c r="V17" s="40">
        <f>借款还本付息计划表!X6</f>
        <v>-1.9895196601282805E-13</v>
      </c>
      <c r="W17" s="40">
        <f>借款还本付息计划表!Y6</f>
        <v>0</v>
      </c>
    </row>
    <row r="18" spans="1:23">
      <c r="A18" s="40">
        <v>2.2999999999999998</v>
      </c>
      <c r="B18" s="40" t="s">
        <v>37</v>
      </c>
      <c r="C18" s="41">
        <f>借款还本付息计划表!D12</f>
        <v>0</v>
      </c>
      <c r="D18" s="41">
        <f>借款还本付息计划表!E12</f>
        <v>4.1999999999999993</v>
      </c>
      <c r="E18" s="41">
        <f>借款还本付息计划表!F12</f>
        <v>4.1999999999999993</v>
      </c>
      <c r="F18" s="41">
        <f>借款还本付息计划表!G12</f>
        <v>4.1999999999999993</v>
      </c>
      <c r="G18" s="41">
        <f>借款还本付息计划表!H12</f>
        <v>4.1999999999999993</v>
      </c>
      <c r="H18" s="41">
        <f>借款还本付息计划表!I12</f>
        <v>4.1999999999999993</v>
      </c>
      <c r="I18" s="41">
        <f>借款还本付息计划表!J12</f>
        <v>4.1999999999999993</v>
      </c>
      <c r="J18" s="41">
        <f>借款还本付息计划表!K12</f>
        <v>4.1999999999999993</v>
      </c>
      <c r="K18" s="41">
        <f>借款还本付息计划表!L12</f>
        <v>4.1999999999999993</v>
      </c>
      <c r="L18" s="41">
        <f>借款还本付息计划表!M12</f>
        <v>4.1999999999999993</v>
      </c>
      <c r="M18" s="41">
        <f>借款还本付息计划表!N12</f>
        <v>4.1999999999999993</v>
      </c>
      <c r="N18" s="41">
        <f>借款还本付息计划表!O12</f>
        <v>4.1999999999999993</v>
      </c>
      <c r="O18" s="41">
        <f>借款还本付息计划表!P12</f>
        <v>4.1999999999999993</v>
      </c>
      <c r="P18" s="41">
        <f>借款还本付息计划表!Q12</f>
        <v>4.1999999999999993</v>
      </c>
      <c r="Q18" s="41">
        <f>借款还本付息计划表!R12</f>
        <v>4.1999999999999993</v>
      </c>
      <c r="R18" s="41">
        <f>借款还本付息计划表!S12</f>
        <v>4.1999999999999993</v>
      </c>
      <c r="S18" s="41">
        <f>借款还本付息计划表!T12</f>
        <v>4.1999999999999993</v>
      </c>
      <c r="T18" s="41">
        <f>借款还本付息计划表!U12</f>
        <v>4.1999999999999993</v>
      </c>
      <c r="U18" s="41">
        <f>借款还本付息计划表!V12</f>
        <v>4.1999999999999993</v>
      </c>
      <c r="V18" s="41">
        <f>借款还本付息计划表!W12</f>
        <v>4.1999999999999993</v>
      </c>
      <c r="W18" s="41">
        <f>借款还本付息计划表!X12</f>
        <v>0</v>
      </c>
    </row>
    <row r="19" spans="1:23" ht="36">
      <c r="A19" s="40">
        <v>2.4</v>
      </c>
      <c r="B19" s="40" t="s">
        <v>152</v>
      </c>
      <c r="C19" s="41">
        <f>C14+C17+C18</f>
        <v>1222.7852800000001</v>
      </c>
      <c r="D19" s="41">
        <f t="shared" ref="D19:W19" si="4">D14+D17+D18</f>
        <v>1104.7067520000001</v>
      </c>
      <c r="E19" s="41">
        <f t="shared" si="4"/>
        <v>982.428224</v>
      </c>
      <c r="F19" s="41">
        <f t="shared" si="4"/>
        <v>860.14969599999995</v>
      </c>
      <c r="G19" s="41">
        <f t="shared" si="4"/>
        <v>737.8711679999999</v>
      </c>
      <c r="H19" s="41">
        <f t="shared" si="4"/>
        <v>615.59263999999985</v>
      </c>
      <c r="I19" s="41">
        <f t="shared" si="4"/>
        <v>493.3141119999998</v>
      </c>
      <c r="J19" s="41">
        <f t="shared" si="4"/>
        <v>371.0355839999998</v>
      </c>
      <c r="K19" s="41">
        <f t="shared" si="4"/>
        <v>248.75705599999981</v>
      </c>
      <c r="L19" s="41">
        <f t="shared" si="4"/>
        <v>126.47852799999981</v>
      </c>
      <c r="M19" s="41">
        <f t="shared" si="4"/>
        <v>4.1999999999998003</v>
      </c>
      <c r="N19" s="41">
        <f t="shared" si="4"/>
        <v>4.1999999999998003</v>
      </c>
      <c r="O19" s="41">
        <f t="shared" si="4"/>
        <v>4.1999999999998003</v>
      </c>
      <c r="P19" s="41">
        <f t="shared" si="4"/>
        <v>4.1999999999998003</v>
      </c>
      <c r="Q19" s="41">
        <f t="shared" si="4"/>
        <v>4.1999999999998003</v>
      </c>
      <c r="R19" s="41">
        <f t="shared" si="4"/>
        <v>4.1999999999998003</v>
      </c>
      <c r="S19" s="41">
        <f t="shared" si="4"/>
        <v>4.1999999999998003</v>
      </c>
      <c r="T19" s="41">
        <f t="shared" si="4"/>
        <v>4.1999999999998003</v>
      </c>
      <c r="U19" s="41">
        <f t="shared" si="4"/>
        <v>4.1999999999998003</v>
      </c>
      <c r="V19" s="41">
        <f t="shared" si="4"/>
        <v>4.1999999999998003</v>
      </c>
      <c r="W19" s="41">
        <f t="shared" si="4"/>
        <v>0</v>
      </c>
    </row>
    <row r="20" spans="1:23">
      <c r="A20" s="40">
        <v>2.5</v>
      </c>
      <c r="B20" s="40" t="s">
        <v>153</v>
      </c>
      <c r="C20" s="41">
        <f>C21+C22+C23+C24</f>
        <v>305.69632000000001</v>
      </c>
      <c r="D20" s="41">
        <f t="shared" ref="D20:W20" si="5">D21+D22+D23+D24</f>
        <v>354.54612740613419</v>
      </c>
      <c r="E20" s="41">
        <f t="shared" si="5"/>
        <v>407.65681318806026</v>
      </c>
      <c r="F20" s="41">
        <f t="shared" si="5"/>
        <v>465.02837734577815</v>
      </c>
      <c r="G20" s="41">
        <f t="shared" si="5"/>
        <v>518.95676456259912</v>
      </c>
      <c r="H20" s="41">
        <f t="shared" si="5"/>
        <v>576.61342035823816</v>
      </c>
      <c r="I20" s="41">
        <f t="shared" si="5"/>
        <v>631.12882808779432</v>
      </c>
      <c r="J20" s="41">
        <f t="shared" si="5"/>
        <v>681.28007853820225</v>
      </c>
      <c r="K20" s="41">
        <f t="shared" si="5"/>
        <v>734.63897643292648</v>
      </c>
      <c r="L20" s="41">
        <f t="shared" si="5"/>
        <v>791.20552177196714</v>
      </c>
      <c r="M20" s="41">
        <f t="shared" si="5"/>
        <v>850.97971455532422</v>
      </c>
      <c r="N20" s="41">
        <f t="shared" si="5"/>
        <v>913.96155478299761</v>
      </c>
      <c r="O20" s="41">
        <f t="shared" si="5"/>
        <v>976.3130251573873</v>
      </c>
      <c r="P20" s="41">
        <f t="shared" si="5"/>
        <v>1038.0341256784934</v>
      </c>
      <c r="Q20" s="41">
        <f t="shared" si="5"/>
        <v>1099.1248563463159</v>
      </c>
      <c r="R20" s="41">
        <f t="shared" si="5"/>
        <v>1159.5852171608549</v>
      </c>
      <c r="S20" s="41">
        <f t="shared" si="5"/>
        <v>1219.4152081221102</v>
      </c>
      <c r="T20" s="41">
        <f t="shared" si="5"/>
        <v>1278.6148292300818</v>
      </c>
      <c r="U20" s="41">
        <f t="shared" si="5"/>
        <v>1337.1840804847698</v>
      </c>
      <c r="V20" s="41">
        <f t="shared" si="5"/>
        <v>1395.1229618861742</v>
      </c>
      <c r="W20" s="41">
        <f t="shared" si="5"/>
        <v>1452.4314734342947</v>
      </c>
    </row>
    <row r="21" spans="1:23">
      <c r="A21" s="40" t="s">
        <v>154</v>
      </c>
      <c r="B21" s="40" t="s">
        <v>155</v>
      </c>
      <c r="C21" s="41">
        <f>项目总投资资金筹措计划表!D11</f>
        <v>305.69632000000001</v>
      </c>
      <c r="D21" s="41">
        <f t="shared" ref="D21:W21" si="6">C21</f>
        <v>305.69632000000001</v>
      </c>
      <c r="E21" s="41">
        <f t="shared" si="6"/>
        <v>305.69632000000001</v>
      </c>
      <c r="F21" s="41">
        <f t="shared" si="6"/>
        <v>305.69632000000001</v>
      </c>
      <c r="G21" s="41">
        <f t="shared" si="6"/>
        <v>305.69632000000001</v>
      </c>
      <c r="H21" s="41">
        <f t="shared" si="6"/>
        <v>305.69632000000001</v>
      </c>
      <c r="I21" s="41">
        <f t="shared" si="6"/>
        <v>305.69632000000001</v>
      </c>
      <c r="J21" s="41">
        <f t="shared" si="6"/>
        <v>305.69632000000001</v>
      </c>
      <c r="K21" s="41">
        <f t="shared" si="6"/>
        <v>305.69632000000001</v>
      </c>
      <c r="L21" s="41">
        <f t="shared" si="6"/>
        <v>305.69632000000001</v>
      </c>
      <c r="M21" s="41">
        <f t="shared" si="6"/>
        <v>305.69632000000001</v>
      </c>
      <c r="N21" s="41">
        <f t="shared" si="6"/>
        <v>305.69632000000001</v>
      </c>
      <c r="O21" s="41">
        <f t="shared" si="6"/>
        <v>305.69632000000001</v>
      </c>
      <c r="P21" s="41">
        <f t="shared" si="6"/>
        <v>305.69632000000001</v>
      </c>
      <c r="Q21" s="41">
        <f t="shared" si="6"/>
        <v>305.69632000000001</v>
      </c>
      <c r="R21" s="41">
        <f t="shared" si="6"/>
        <v>305.69632000000001</v>
      </c>
      <c r="S21" s="41">
        <f t="shared" si="6"/>
        <v>305.69632000000001</v>
      </c>
      <c r="T21" s="41">
        <f t="shared" si="6"/>
        <v>305.69632000000001</v>
      </c>
      <c r="U21" s="41">
        <f t="shared" si="6"/>
        <v>305.69632000000001</v>
      </c>
      <c r="V21" s="41">
        <f t="shared" si="6"/>
        <v>305.69632000000001</v>
      </c>
      <c r="W21" s="41">
        <f t="shared" si="6"/>
        <v>305.69632000000001</v>
      </c>
    </row>
    <row r="22" spans="1:23">
      <c r="A22" s="40" t="s">
        <v>156</v>
      </c>
      <c r="B22" s="40" t="s">
        <v>157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</row>
    <row r="23" spans="1:23">
      <c r="A23" s="40" t="s">
        <v>158</v>
      </c>
      <c r="B23" s="40" t="s">
        <v>159</v>
      </c>
      <c r="C23" s="40">
        <f>利润与利润分配表!D24</f>
        <v>0</v>
      </c>
      <c r="D23" s="40">
        <f>利润与利润分配表!D24+利润与利润分配表!E24</f>
        <v>4.8849807406134209</v>
      </c>
      <c r="E23" s="41">
        <f>利润与利润分配表!F24+资产负债表!D23</f>
        <v>10.196049318806022</v>
      </c>
      <c r="F23" s="41">
        <f>利润与利润分配表!G24+资产负债表!E23</f>
        <v>15.933205734577815</v>
      </c>
      <c r="G23" s="41">
        <f>利润与利润分配表!H24+资产负债表!F23</f>
        <v>21.326044456259918</v>
      </c>
      <c r="H23" s="41">
        <f>利润与利润分配表!I24+资产负债表!G23</f>
        <v>27.091710035823812</v>
      </c>
      <c r="I23" s="41">
        <f>利润与利润分配表!J24+资产负债表!H23</f>
        <v>32.54325080877944</v>
      </c>
      <c r="J23" s="41">
        <f>利润与利润分配表!K24+资产负债表!I23</f>
        <v>37.55837585382023</v>
      </c>
      <c r="K23" s="41">
        <f>利润与利润分配表!L24+资产负债表!J23</f>
        <v>42.894265643292663</v>
      </c>
      <c r="L23" s="41">
        <f>利润与利润分配表!M24+资产负债表!K23</f>
        <v>48.55092017719673</v>
      </c>
      <c r="M23" s="41">
        <f>利润与利润分配表!N24+资产负债表!L23</f>
        <v>54.528339455532432</v>
      </c>
      <c r="N23" s="41">
        <f>利润与利润分配表!O24+资产负债表!M23</f>
        <v>60.826523478299777</v>
      </c>
      <c r="O23" s="41">
        <f>利润与利润分配表!P24+资产负债表!N23</f>
        <v>67.061670515738754</v>
      </c>
      <c r="P23" s="41">
        <f>利润与利润分配表!Q24+资产负债表!O23</f>
        <v>73.233780567849365</v>
      </c>
      <c r="Q23" s="41">
        <f>利润与利润分配表!R24+资产负债表!P23</f>
        <v>79.342853634631624</v>
      </c>
      <c r="R23" s="41">
        <f>利润与利润分配表!S24+资产负债表!Q23</f>
        <v>85.388889716085515</v>
      </c>
      <c r="S23" s="41">
        <f>利润与利润分配表!T24+资产负债表!R23</f>
        <v>91.37188881221104</v>
      </c>
      <c r="T23" s="41">
        <f>利润与利润分配表!U24+资产负债表!S23</f>
        <v>97.291850923008212</v>
      </c>
      <c r="U23" s="41">
        <f>利润与利润分配表!V24+资产负债表!T23</f>
        <v>103.148776048477</v>
      </c>
      <c r="V23" s="41">
        <f>利润与利润分配表!W24+资产负债表!U23</f>
        <v>108.94266418861744</v>
      </c>
      <c r="W23" s="41">
        <f>利润与利润分配表!X24+资产负债表!V23</f>
        <v>114.67351534342951</v>
      </c>
    </row>
    <row r="24" spans="1:23">
      <c r="A24" s="40" t="s">
        <v>160</v>
      </c>
      <c r="B24" s="40" t="s">
        <v>161</v>
      </c>
      <c r="C24" s="41">
        <f>利润与利润分配表!D28</f>
        <v>0</v>
      </c>
      <c r="D24" s="41">
        <f>利润与利润分配表!E28</f>
        <v>43.964826665520782</v>
      </c>
      <c r="E24" s="41">
        <f>利润与利润分配表!F28</f>
        <v>91.76444386925418</v>
      </c>
      <c r="F24" s="41">
        <f>利润与利润分配表!G28</f>
        <v>143.39885161120031</v>
      </c>
      <c r="G24" s="41">
        <f>利润与利润分配表!H28</f>
        <v>191.93440010633924</v>
      </c>
      <c r="H24" s="41">
        <f>利润与利润分配表!I28</f>
        <v>243.82539032241428</v>
      </c>
      <c r="I24" s="41">
        <f>利润与利润分配表!J28</f>
        <v>292.88925727901488</v>
      </c>
      <c r="J24" s="41">
        <f>利润与利润分配表!K28</f>
        <v>338.02538268438201</v>
      </c>
      <c r="K24" s="41">
        <f>利润与利润分配表!L28</f>
        <v>386.04839078963386</v>
      </c>
      <c r="L24" s="41">
        <f>利润与利润分配表!M28</f>
        <v>436.95828159477043</v>
      </c>
      <c r="M24" s="41">
        <f>利润与利润分配表!N28</f>
        <v>490.75505509979178</v>
      </c>
      <c r="N24" s="41">
        <f>利润与利润分配表!O28</f>
        <v>547.43871130469779</v>
      </c>
      <c r="O24" s="41">
        <f>利润与利润分配表!P28</f>
        <v>603.5550346416486</v>
      </c>
      <c r="P24" s="41">
        <f>利润与利润分配表!Q28</f>
        <v>659.1040251106441</v>
      </c>
      <c r="Q24" s="41">
        <f>利润与利润分配表!R28</f>
        <v>714.0856827116844</v>
      </c>
      <c r="R24" s="41">
        <f>利润与利润分配表!S28</f>
        <v>768.50000744476949</v>
      </c>
      <c r="S24" s="41">
        <f>利润与利润分配表!T28</f>
        <v>822.34699930989916</v>
      </c>
      <c r="T24" s="41">
        <f>利润与利润分配表!U28</f>
        <v>875.62665830707363</v>
      </c>
      <c r="U24" s="41">
        <f>利润与利润分配表!V28</f>
        <v>928.33898443629278</v>
      </c>
      <c r="V24" s="41">
        <f>利润与利润分配表!W28</f>
        <v>980.48397769755672</v>
      </c>
      <c r="W24" s="41">
        <f>利润与利润分配表!X28</f>
        <v>1032.0616380908652</v>
      </c>
    </row>
    <row r="25" spans="1:23">
      <c r="A25" s="40"/>
      <c r="B25" s="40" t="s">
        <v>162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</row>
    <row r="26" spans="1:23" ht="24">
      <c r="A26" s="40" t="s">
        <v>87</v>
      </c>
      <c r="B26" s="40" t="s">
        <v>163</v>
      </c>
      <c r="C26" s="59">
        <f>C19/C5</f>
        <v>0.8</v>
      </c>
      <c r="D26" s="59">
        <f t="shared" ref="D26:W26" si="7">D19/D5</f>
        <v>0.75610319624367306</v>
      </c>
      <c r="E26" s="59">
        <f t="shared" si="7"/>
        <v>0.70582569519156502</v>
      </c>
      <c r="F26" s="59">
        <f t="shared" si="7"/>
        <v>0.64820189065465128</v>
      </c>
      <c r="G26" s="59">
        <f t="shared" si="7"/>
        <v>0.58625043105286478</v>
      </c>
      <c r="H26" s="59">
        <f t="shared" si="7"/>
        <v>0.51556910843090953</v>
      </c>
      <c r="I26" s="59">
        <f t="shared" si="7"/>
        <v>0.43801749555166514</v>
      </c>
      <c r="J26" s="59">
        <f t="shared" si="7"/>
        <v>0.35198754480754429</v>
      </c>
      <c r="K26" s="59">
        <f t="shared" si="7"/>
        <v>0.25249498354728245</v>
      </c>
      <c r="L26" s="59">
        <f t="shared" si="7"/>
        <v>0.13755380316968691</v>
      </c>
      <c r="M26" s="59">
        <f t="shared" si="7"/>
        <v>4.9009328093362449E-3</v>
      </c>
      <c r="N26" s="59">
        <f t="shared" si="7"/>
        <v>4.5654081718561629E-3</v>
      </c>
      <c r="O26" s="59">
        <f t="shared" si="7"/>
        <v>4.2756228334922767E-3</v>
      </c>
      <c r="P26" s="59">
        <f t="shared" si="7"/>
        <v>4.022857008883992E-3</v>
      </c>
      <c r="Q26" s="59">
        <f t="shared" si="7"/>
        <v>3.8004755534008488E-3</v>
      </c>
      <c r="R26" s="59">
        <f t="shared" si="7"/>
        <v>3.6033401403547348E-3</v>
      </c>
      <c r="S26" s="59">
        <f t="shared" si="7"/>
        <v>3.4274097237915763E-3</v>
      </c>
      <c r="T26" s="59">
        <f t="shared" si="7"/>
        <v>3.2694624913500473E-3</v>
      </c>
      <c r="U26" s="59">
        <f t="shared" si="7"/>
        <v>3.1268982867068921E-3</v>
      </c>
      <c r="V26" s="59">
        <f t="shared" si="7"/>
        <v>2.9975955817224003E-3</v>
      </c>
      <c r="W26" s="59">
        <f t="shared" si="7"/>
        <v>0</v>
      </c>
    </row>
  </sheetData>
  <sheetProtection password="C6BB" sheet="1" objects="1" scenarios="1"/>
  <mergeCells count="5">
    <mergeCell ref="A3:A4"/>
    <mergeCell ref="B3:B4"/>
    <mergeCell ref="D3:L3"/>
    <mergeCell ref="M3:W3"/>
    <mergeCell ref="A1:W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主要技术经济指标</vt:lpstr>
      <vt:lpstr>项目总投资资金筹措计划表</vt:lpstr>
      <vt:lpstr>总成本费用估算表</vt:lpstr>
      <vt:lpstr>利润与利润分配表</vt:lpstr>
      <vt:lpstr>借款还本付息计划表</vt:lpstr>
      <vt:lpstr>财务计划现金流量表</vt:lpstr>
      <vt:lpstr>项目投资现金流量表</vt:lpstr>
      <vt:lpstr>项目资本金现金流量表</vt:lpstr>
      <vt:lpstr>资产负债表</vt:lpstr>
      <vt:lpstr>EVA表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2022-04-20T13:01:41Z</dcterms:modified>
</cp:coreProperties>
</file>