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【广西项目】工作站\【光伏】项目\投资收益ROI核算\优选参考核算投资收益\"/>
    </mc:Choice>
  </mc:AlternateContent>
  <xr:revisionPtr revIDLastSave="0" documentId="13_ncr:1_{52B25535-EC6F-48E3-A153-4159C955ACA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地面电站" sheetId="1" r:id="rId1"/>
  </sheets>
  <definedNames>
    <definedName name="_xlnm.Print_Titles" localSheetId="0">地面电站!$1:$3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J57" i="1"/>
  <c r="J56" i="1"/>
  <c r="H42" i="1"/>
  <c r="H40" i="1" s="1"/>
  <c r="H15" i="1"/>
  <c r="G15" i="1"/>
  <c r="E15" i="1"/>
  <c r="F52" i="1"/>
  <c r="E52" i="1"/>
  <c r="D52" i="1"/>
  <c r="C52" i="1"/>
  <c r="F50" i="1"/>
  <c r="E50" i="1"/>
  <c r="D50" i="1"/>
  <c r="C50" i="1"/>
  <c r="H48" i="1"/>
  <c r="G48" i="1"/>
  <c r="F48" i="1"/>
  <c r="E48" i="1"/>
  <c r="D48" i="1"/>
  <c r="I46" i="1"/>
  <c r="I45" i="1" s="1"/>
  <c r="G46" i="1"/>
  <c r="F46" i="1"/>
  <c r="F45" i="1" s="1"/>
  <c r="E46" i="1"/>
  <c r="E45" i="1" s="1"/>
  <c r="D46" i="1"/>
  <c r="D45" i="1" s="1"/>
  <c r="C46" i="1"/>
  <c r="C45" i="1" s="1"/>
  <c r="H45" i="1"/>
  <c r="G45" i="1"/>
  <c r="I42" i="1"/>
  <c r="G42" i="1"/>
  <c r="F42" i="1"/>
  <c r="E42" i="1"/>
  <c r="D42" i="1"/>
  <c r="D40" i="1" s="1"/>
  <c r="C42" i="1"/>
  <c r="I41" i="1"/>
  <c r="H41" i="1"/>
  <c r="G41" i="1"/>
  <c r="G40" i="1" s="1"/>
  <c r="F41" i="1"/>
  <c r="F40" i="1" s="1"/>
  <c r="E41" i="1"/>
  <c r="E40" i="1" s="1"/>
  <c r="D41" i="1"/>
  <c r="C41" i="1"/>
  <c r="C40" i="1" s="1"/>
  <c r="I38" i="1"/>
  <c r="H38" i="1"/>
  <c r="G38" i="1"/>
  <c r="F38" i="1"/>
  <c r="E38" i="1"/>
  <c r="D38" i="1"/>
  <c r="C38" i="1"/>
  <c r="I37" i="1"/>
  <c r="H37" i="1"/>
  <c r="G37" i="1"/>
  <c r="F37" i="1"/>
  <c r="E37" i="1"/>
  <c r="D37" i="1"/>
  <c r="C37" i="1"/>
  <c r="I36" i="1"/>
  <c r="H36" i="1"/>
  <c r="H32" i="1" s="1"/>
  <c r="G36" i="1"/>
  <c r="G32" i="1" s="1"/>
  <c r="F36" i="1"/>
  <c r="E36" i="1"/>
  <c r="E32" i="1" s="1"/>
  <c r="D36" i="1"/>
  <c r="I35" i="1"/>
  <c r="I32" i="1" s="1"/>
  <c r="H35" i="1"/>
  <c r="G35" i="1"/>
  <c r="F35" i="1"/>
  <c r="E35" i="1"/>
  <c r="D35" i="1"/>
  <c r="D32" i="1" s="1"/>
  <c r="C34" i="1"/>
  <c r="C33" i="1"/>
  <c r="I31" i="1"/>
  <c r="H31" i="1"/>
  <c r="G31" i="1"/>
  <c r="F31" i="1"/>
  <c r="E31" i="1"/>
  <c r="D31" i="1"/>
  <c r="C31" i="1"/>
  <c r="I30" i="1"/>
  <c r="H30" i="1"/>
  <c r="G30" i="1"/>
  <c r="G29" i="1" s="1"/>
  <c r="F30" i="1"/>
  <c r="E30" i="1"/>
  <c r="E29" i="1" s="1"/>
  <c r="D30" i="1"/>
  <c r="D29" i="1" s="1"/>
  <c r="C30" i="1"/>
  <c r="C29" i="1" s="1"/>
  <c r="F28" i="1"/>
  <c r="F26" i="1" s="1"/>
  <c r="E28" i="1"/>
  <c r="E26" i="1" s="1"/>
  <c r="C27" i="1"/>
  <c r="C26" i="1" s="1"/>
  <c r="I26" i="1"/>
  <c r="H26" i="1"/>
  <c r="H19" i="1" s="1"/>
  <c r="G26" i="1"/>
  <c r="D26" i="1"/>
  <c r="F25" i="1"/>
  <c r="F23" i="1" s="1"/>
  <c r="E25" i="1"/>
  <c r="E23" i="1" s="1"/>
  <c r="C24" i="1"/>
  <c r="I23" i="1"/>
  <c r="H23" i="1"/>
  <c r="G23" i="1"/>
  <c r="D23" i="1"/>
  <c r="I20" i="1"/>
  <c r="H20" i="1"/>
  <c r="G20" i="1"/>
  <c r="F20" i="1"/>
  <c r="E20" i="1"/>
  <c r="D20" i="1"/>
  <c r="D19" i="1" s="1"/>
  <c r="C20" i="1"/>
  <c r="G18" i="1"/>
  <c r="G16" i="1"/>
  <c r="I16" i="1" s="1"/>
  <c r="F15" i="1"/>
  <c r="C15" i="1"/>
  <c r="I14" i="1"/>
  <c r="H14" i="1"/>
  <c r="G14" i="1"/>
  <c r="F14" i="1"/>
  <c r="F12" i="1" s="1"/>
  <c r="E14" i="1"/>
  <c r="D14" i="1"/>
  <c r="C14" i="1"/>
  <c r="I13" i="1"/>
  <c r="H13" i="1"/>
  <c r="G13" i="1"/>
  <c r="F13" i="1"/>
  <c r="E13" i="1"/>
  <c r="D13" i="1"/>
  <c r="C13" i="1"/>
  <c r="G11" i="1"/>
  <c r="H11" i="1" s="1"/>
  <c r="I11" i="1" s="1"/>
  <c r="H10" i="1"/>
  <c r="I10" i="1" s="1"/>
  <c r="G10" i="1"/>
  <c r="I9" i="1"/>
  <c r="H9" i="1"/>
  <c r="G9" i="1"/>
  <c r="F9" i="1"/>
  <c r="E9" i="1"/>
  <c r="D9" i="1"/>
  <c r="C9" i="1"/>
  <c r="I8" i="1"/>
  <c r="H8" i="1"/>
  <c r="G8" i="1"/>
  <c r="F8" i="1"/>
  <c r="E8" i="1"/>
  <c r="E6" i="1" s="1"/>
  <c r="D8" i="1"/>
  <c r="C8" i="1"/>
  <c r="C6" i="1" s="1"/>
  <c r="C55" i="1" s="1"/>
  <c r="D6" i="1" l="1"/>
  <c r="C32" i="1"/>
  <c r="F6" i="1"/>
  <c r="F55" i="1" s="1"/>
  <c r="D12" i="1"/>
  <c r="E12" i="1"/>
  <c r="F29" i="1"/>
  <c r="F32" i="1"/>
  <c r="G6" i="1"/>
  <c r="C12" i="1"/>
  <c r="G19" i="1"/>
  <c r="H29" i="1"/>
  <c r="H6" i="1"/>
  <c r="E19" i="1"/>
  <c r="F19" i="1"/>
  <c r="G12" i="1"/>
  <c r="I19" i="1"/>
  <c r="I29" i="1"/>
  <c r="I40" i="1"/>
  <c r="I6" i="1"/>
  <c r="C19" i="1"/>
  <c r="E55" i="1"/>
  <c r="E5" i="1"/>
  <c r="E4" i="1" s="1"/>
  <c r="F5" i="1"/>
  <c r="H12" i="1"/>
  <c r="H5" i="1" s="1"/>
  <c r="H4" i="1" s="1"/>
  <c r="I15" i="1"/>
  <c r="I12" i="1" s="1"/>
  <c r="H55" i="1"/>
  <c r="C5" i="1"/>
  <c r="C4" i="1" s="1"/>
  <c r="D5" i="1" l="1"/>
  <c r="D4" i="1" s="1"/>
  <c r="D53" i="1" s="1"/>
  <c r="D55" i="1"/>
  <c r="G5" i="1"/>
  <c r="G4" i="1" s="1"/>
  <c r="G51" i="1" s="1"/>
  <c r="G39" i="1" s="1"/>
  <c r="G55" i="1"/>
  <c r="F4" i="1"/>
  <c r="H51" i="1"/>
  <c r="H39" i="1" s="1"/>
  <c r="H53" i="1"/>
  <c r="C53" i="1"/>
  <c r="C51" i="1"/>
  <c r="C39" i="1" s="1"/>
  <c r="C54" i="1" s="1"/>
  <c r="C56" i="1" s="1"/>
  <c r="C57" i="1" s="1"/>
  <c r="E53" i="1"/>
  <c r="E51" i="1"/>
  <c r="E39" i="1" s="1"/>
  <c r="E54" i="1" s="1"/>
  <c r="E56" i="1" s="1"/>
  <c r="E57" i="1" s="1"/>
  <c r="I5" i="1"/>
  <c r="I4" i="1" s="1"/>
  <c r="I55" i="1"/>
  <c r="F51" i="1"/>
  <c r="F39" i="1" s="1"/>
  <c r="F54" i="1" s="1"/>
  <c r="F56" i="1" s="1"/>
  <c r="F57" i="1" s="1"/>
  <c r="F53" i="1"/>
  <c r="D51" i="1" l="1"/>
  <c r="D39" i="1" s="1"/>
  <c r="D54" i="1" s="1"/>
  <c r="D56" i="1" s="1"/>
  <c r="D57" i="1" s="1"/>
  <c r="G53" i="1"/>
  <c r="H54" i="1"/>
  <c r="H56" i="1" s="1"/>
  <c r="G54" i="1"/>
  <c r="G56" i="1" s="1"/>
  <c r="G57" i="1" s="1"/>
  <c r="I53" i="1"/>
  <c r="I51" i="1"/>
  <c r="I39" i="1" s="1"/>
  <c r="I54" i="1" s="1"/>
  <c r="I56" i="1" s="1"/>
  <c r="I57" i="1" s="1"/>
  <c r="H57" i="1" l="1"/>
</calcChain>
</file>

<file path=xl/sharedStrings.xml><?xml version="1.0" encoding="utf-8"?>
<sst xmlns="http://schemas.openxmlformats.org/spreadsheetml/2006/main" count="102" uniqueCount="98">
  <si>
    <t>编号</t>
  </si>
  <si>
    <t>科目</t>
  </si>
  <si>
    <t>平地光伏电站</t>
  </si>
  <si>
    <t>备注</t>
  </si>
  <si>
    <t>一</t>
  </si>
  <si>
    <t>工程费</t>
  </si>
  <si>
    <t>光伏场区工程</t>
  </si>
  <si>
    <t>光伏场区设备</t>
  </si>
  <si>
    <t>1.1.1</t>
  </si>
  <si>
    <t>545W双玻双面组件，单面组件降低0.05元/W</t>
  </si>
  <si>
    <t>1.1.2</t>
  </si>
  <si>
    <t>支架</t>
  </si>
  <si>
    <t>固定支架，按32t/MW考虑,单价按8620元/t（含运费）</t>
  </si>
  <si>
    <t>1.1.3</t>
  </si>
  <si>
    <t>逆变器（箱逆变一体机）</t>
  </si>
  <si>
    <t>3150箱逆变一体机</t>
  </si>
  <si>
    <t>汇流箱</t>
  </si>
  <si>
    <t>1.1.5</t>
  </si>
  <si>
    <t>线缆</t>
  </si>
  <si>
    <t>铝芯</t>
  </si>
  <si>
    <t>光伏场区建筑工程</t>
  </si>
  <si>
    <t>1.2.1</t>
  </si>
  <si>
    <t>桩基基础费用-灌注桩</t>
  </si>
  <si>
    <t>按每56块板7排桩计算，桩长1.5m</t>
  </si>
  <si>
    <t>1.2.2</t>
  </si>
  <si>
    <t>箱变基础费用</t>
  </si>
  <si>
    <t>3万元/座</t>
  </si>
  <si>
    <t>1.2.3</t>
  </si>
  <si>
    <t>光伏厂区场平</t>
  </si>
  <si>
    <t>1.2.4</t>
  </si>
  <si>
    <t>道路、围栏</t>
  </si>
  <si>
    <t>1.2.5</t>
  </si>
  <si>
    <t>集电线路工程、接地土方</t>
  </si>
  <si>
    <t>光伏场区安装工程</t>
  </si>
  <si>
    <t>开关站/升压站</t>
  </si>
  <si>
    <t>站区设备</t>
  </si>
  <si>
    <t>2.1.1</t>
  </si>
  <si>
    <t>35KV开关站设备</t>
  </si>
  <si>
    <t>110KV升压站设备</t>
  </si>
  <si>
    <t>站区安装工程</t>
  </si>
  <si>
    <t>2.2.1</t>
  </si>
  <si>
    <t>35KV开关站安装工程</t>
  </si>
  <si>
    <t>110KV升压站安装工程</t>
  </si>
  <si>
    <t>站区建筑工程</t>
  </si>
  <si>
    <t>2.3.1</t>
  </si>
  <si>
    <t>35KV开关站建筑工程</t>
  </si>
  <si>
    <t>110KV升压站建筑工程</t>
  </si>
  <si>
    <t>其他工程</t>
  </si>
  <si>
    <t>其他（水保、环保工程等）</t>
  </si>
  <si>
    <t>二</t>
  </si>
  <si>
    <t>外线工程（含清赔）</t>
  </si>
  <si>
    <t>35KV外线工程（含清赔）</t>
  </si>
  <si>
    <t>6km架空线路，65万/km</t>
  </si>
  <si>
    <t>35kv对侧间隔工程</t>
  </si>
  <si>
    <t>80万元/间隔</t>
  </si>
  <si>
    <t>110KV外线工程（含清赔）</t>
  </si>
  <si>
    <t>21km架空线路，150万/km,双回路为单回路1.4倍</t>
  </si>
  <si>
    <t>110kv对侧间隔工程</t>
  </si>
  <si>
    <t>180万元/间隔</t>
  </si>
  <si>
    <t>三</t>
  </si>
  <si>
    <t>光伏+（农林牧渔治理）</t>
  </si>
  <si>
    <t>四</t>
  </si>
  <si>
    <t>储能工程</t>
  </si>
  <si>
    <t>五</t>
  </si>
  <si>
    <t>其他费用</t>
  </si>
  <si>
    <t>土地费用（不含耕地占用税）</t>
  </si>
  <si>
    <t>征地费用</t>
  </si>
  <si>
    <t>首年土地租金</t>
  </si>
  <si>
    <t>首年租金计入建设成本，不在测算模型中计算运营成本</t>
  </si>
  <si>
    <t>清赔、补偿费</t>
  </si>
  <si>
    <t>水保、植被恢复费</t>
  </si>
  <si>
    <t>开发费用</t>
  </si>
  <si>
    <t>含批文、委托报告编制费，差旅费、咨询服务费、勘察费</t>
  </si>
  <si>
    <t>开发费</t>
  </si>
  <si>
    <t>咨询费</t>
  </si>
  <si>
    <t>业主管理费</t>
  </si>
  <si>
    <t>环评/水保/消防等专项验收、质检检测、电网验收、项目验收、工程结算、现场办公、建设管理费用</t>
  </si>
  <si>
    <t>设计、勘察费</t>
  </si>
  <si>
    <t>光伏区、升压站设计费，不含勘察费</t>
  </si>
  <si>
    <t>监理费</t>
  </si>
  <si>
    <t>工程保险费</t>
  </si>
  <si>
    <t>生产准备费</t>
  </si>
  <si>
    <t>六</t>
  </si>
  <si>
    <t>不可预见费</t>
  </si>
  <si>
    <t>静态总投资</t>
  </si>
  <si>
    <t>七</t>
  </si>
  <si>
    <t>建设期利息</t>
  </si>
  <si>
    <t>动态总投资</t>
  </si>
  <si>
    <t>前期道路、水、电、通信</t>
    <phoneticPr fontId="3" type="noConversion"/>
  </si>
  <si>
    <t>组件</t>
    <phoneticPr fontId="3" type="noConversion"/>
  </si>
  <si>
    <t>按部分位置需平整场地并进行施工作业</t>
    <phoneticPr fontId="3" type="noConversion"/>
  </si>
  <si>
    <t>部分位置为铺设20cm厚碎石道路，1.8m高镀锌围栏</t>
    <phoneticPr fontId="3" type="noConversion"/>
  </si>
  <si>
    <t>不含储能投资</t>
    <phoneticPr fontId="3" type="noConversion"/>
  </si>
  <si>
    <r>
      <rPr>
        <b/>
        <u/>
        <sz val="16"/>
        <color rgb="FFFF0000"/>
        <rFont val="微软雅黑"/>
        <family val="2"/>
        <charset val="134"/>
      </rPr>
      <t>****</t>
    </r>
    <r>
      <rPr>
        <b/>
        <sz val="16"/>
        <color indexed="8"/>
        <rFont val="微软雅黑"/>
        <family val="2"/>
        <charset val="134"/>
      </rPr>
      <t>集中式地面光伏电站典型参考造价（元/瓦)</t>
    </r>
    <phoneticPr fontId="3" type="noConversion"/>
  </si>
  <si>
    <r>
      <rPr>
        <b/>
        <sz val="10"/>
        <color rgb="FFFF0000"/>
        <rFont val="微软雅黑"/>
        <family val="2"/>
        <charset val="134"/>
      </rPr>
      <t>储能配比15%</t>
    </r>
    <r>
      <rPr>
        <sz val="10"/>
        <color theme="1"/>
        <rFont val="微软雅黑"/>
        <family val="2"/>
        <charset val="134"/>
      </rPr>
      <t>，2h，储能系统造价1.35元/Wh</t>
    </r>
    <phoneticPr fontId="3" type="noConversion"/>
  </si>
  <si>
    <r>
      <t>暂按：租金100元/亩，据实调整，全面考虑土地费用（</t>
    </r>
    <r>
      <rPr>
        <b/>
        <sz val="10"/>
        <color rgb="FFFF0000"/>
        <rFont val="微软雅黑"/>
        <family val="2"/>
        <charset val="134"/>
      </rPr>
      <t>作为暂列为水利协调费</t>
    </r>
    <r>
      <rPr>
        <sz val="10"/>
        <color theme="1"/>
        <rFont val="微软雅黑"/>
        <family val="2"/>
        <charset val="134"/>
      </rPr>
      <t>）</t>
    </r>
    <phoneticPr fontId="3" type="noConversion"/>
  </si>
  <si>
    <r>
      <t>备注：①1兆瓦等于1000千瓦，1兆瓦等于1000000瓦。</t>
    </r>
    <r>
      <rPr>
        <b/>
        <sz val="11"/>
        <color rgb="FFFF0000"/>
        <rFont val="微软雅黑"/>
        <family val="2"/>
        <charset val="134"/>
      </rPr>
      <t>②光伏组件暂按1元/瓦计算，由于组件等材料均为动态的，暂按按3.286元／瓦计算（含15%储能配置），总量200兆瓦算总投资金额为：3.32元／瓦*200000000瓦=6.57亿元。</t>
    </r>
    <r>
      <rPr>
        <sz val="11"/>
        <rFont val="微软雅黑"/>
        <family val="2"/>
        <charset val="134"/>
      </rPr>
      <t>③</t>
    </r>
    <r>
      <rPr>
        <sz val="11"/>
        <color theme="1"/>
        <rFont val="微软雅黑"/>
        <family val="2"/>
        <charset val="134"/>
      </rPr>
      <t>1块555W的光伏板占地面积2.5m²，1万平方的地面/楼顶一般可以做1000000W（如果基本没有阻档，甚至可以做1500000，最终以发改那里备案的容量为准）</t>
    </r>
    <phoneticPr fontId="3" type="noConversion"/>
  </si>
  <si>
    <t>容量（MW）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</si>
</sst>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00_ "/>
    <numFmt numFmtId="177" formatCode="0.000"/>
  </numFmts>
  <fonts count="15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b/>
      <sz val="16"/>
      <color indexed="8"/>
      <name val="微软雅黑"/>
      <family val="2"/>
      <charset val="134"/>
    </font>
    <font>
      <b/>
      <u/>
      <sz val="16"/>
      <color rgb="FFFF0000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11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6" borderId="2" xfId="2" applyFont="1" applyFill="1" applyBorder="1" applyAlignment="1">
      <alignment horizontal="center" vertical="center" wrapText="1"/>
    </xf>
    <xf numFmtId="0" fontId="7" fillId="6" borderId="3" xfId="2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center"/>
    </xf>
    <xf numFmtId="0" fontId="8" fillId="6" borderId="5" xfId="1" applyFont="1" applyFill="1" applyBorder="1" applyAlignment="1">
      <alignment horizontal="center" vertical="center"/>
    </xf>
    <xf numFmtId="0" fontId="8" fillId="6" borderId="18" xfId="1" applyFont="1" applyFill="1" applyBorder="1" applyAlignment="1">
      <alignment horizontal="center" vertical="center"/>
    </xf>
    <xf numFmtId="0" fontId="7" fillId="6" borderId="6" xfId="2" applyFont="1" applyFill="1" applyBorder="1" applyAlignment="1">
      <alignment horizontal="center" vertical="center" wrapText="1"/>
    </xf>
    <xf numFmtId="0" fontId="7" fillId="6" borderId="7" xfId="2" applyFont="1" applyFill="1" applyBorder="1" applyAlignment="1">
      <alignment horizontal="center" vertical="center" wrapText="1"/>
    </xf>
    <xf numFmtId="0" fontId="8" fillId="6" borderId="8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7" fillId="6" borderId="19" xfId="2" applyFont="1" applyFill="1" applyBorder="1" applyAlignment="1">
      <alignment vertical="center" wrapText="1"/>
    </xf>
    <xf numFmtId="0" fontId="8" fillId="0" borderId="8" xfId="1" applyFont="1" applyBorder="1" applyAlignment="1">
      <alignment horizontal="center" vertical="center"/>
    </xf>
    <xf numFmtId="0" fontId="8" fillId="0" borderId="7" xfId="1" applyFont="1" applyBorder="1" applyAlignment="1">
      <alignment vertical="center" wrapText="1"/>
    </xf>
    <xf numFmtId="176" fontId="8" fillId="0" borderId="8" xfId="1" applyNumberFormat="1" applyFont="1" applyBorder="1" applyAlignment="1">
      <alignment horizontal="center" vertical="center"/>
    </xf>
    <xf numFmtId="176" fontId="8" fillId="0" borderId="9" xfId="1" applyNumberFormat="1" applyFont="1" applyBorder="1" applyAlignment="1">
      <alignment horizontal="center" vertical="center"/>
    </xf>
    <xf numFmtId="0" fontId="7" fillId="0" borderId="19" xfId="2" applyFont="1" applyBorder="1" applyAlignment="1">
      <alignment vertical="center" wrapText="1"/>
    </xf>
    <xf numFmtId="0" fontId="9" fillId="0" borderId="19" xfId="1" applyFont="1" applyBorder="1" applyAlignment="1">
      <alignment vertical="center" wrapText="1"/>
    </xf>
    <xf numFmtId="0" fontId="10" fillId="0" borderId="8" xfId="1" applyFont="1" applyBorder="1" applyAlignment="1">
      <alignment horizontal="center" vertical="center"/>
    </xf>
    <xf numFmtId="0" fontId="10" fillId="0" borderId="7" xfId="1" applyFont="1" applyBorder="1" applyAlignment="1">
      <alignment vertical="center" wrapText="1"/>
    </xf>
    <xf numFmtId="176" fontId="10" fillId="0" borderId="8" xfId="1" applyNumberFormat="1" applyFont="1" applyBorder="1" applyAlignment="1">
      <alignment horizontal="center" vertical="center"/>
    </xf>
    <xf numFmtId="176" fontId="10" fillId="0" borderId="9" xfId="1" applyNumberFormat="1" applyFont="1" applyBorder="1" applyAlignment="1">
      <alignment horizontal="center" vertical="center"/>
    </xf>
    <xf numFmtId="0" fontId="11" fillId="0" borderId="19" xfId="1" applyFont="1" applyBorder="1" applyAlignment="1">
      <alignment vertical="center" wrapText="1"/>
    </xf>
    <xf numFmtId="176" fontId="10" fillId="0" borderId="7" xfId="1" applyNumberFormat="1" applyFont="1" applyBorder="1" applyAlignment="1">
      <alignment horizontal="center" vertical="center"/>
    </xf>
    <xf numFmtId="0" fontId="10" fillId="0" borderId="19" xfId="1" applyFont="1" applyBorder="1" applyAlignment="1">
      <alignment vertical="center" wrapText="1"/>
    </xf>
    <xf numFmtId="176" fontId="11" fillId="0" borderId="19" xfId="1" applyNumberFormat="1" applyFont="1" applyBorder="1" applyAlignment="1">
      <alignment horizontal="left" vertical="center" wrapText="1"/>
    </xf>
    <xf numFmtId="176" fontId="8" fillId="0" borderId="7" xfId="1" applyNumberFormat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1" fillId="3" borderId="19" xfId="1" applyFont="1" applyFill="1" applyBorder="1" applyAlignment="1">
      <alignment vertical="center" wrapText="1"/>
    </xf>
    <xf numFmtId="177" fontId="10" fillId="0" borderId="9" xfId="1" applyNumberFormat="1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center" vertical="center"/>
    </xf>
    <xf numFmtId="176" fontId="10" fillId="0" borderId="10" xfId="1" applyNumberFormat="1" applyFont="1" applyBorder="1" applyAlignment="1">
      <alignment horizontal="center" vertical="center"/>
    </xf>
    <xf numFmtId="176" fontId="10" fillId="0" borderId="20" xfId="1" applyNumberFormat="1" applyFont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176" fontId="8" fillId="2" borderId="8" xfId="1" applyNumberFormat="1" applyFont="1" applyFill="1" applyBorder="1" applyAlignment="1">
      <alignment horizontal="center" vertical="center"/>
    </xf>
    <xf numFmtId="176" fontId="8" fillId="2" borderId="9" xfId="1" applyNumberFormat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176" fontId="8" fillId="4" borderId="14" xfId="1" applyNumberFormat="1" applyFont="1" applyFill="1" applyBorder="1" applyAlignment="1">
      <alignment horizontal="center" vertical="center"/>
    </xf>
    <xf numFmtId="176" fontId="8" fillId="4" borderId="15" xfId="1" applyNumberFormat="1" applyFont="1" applyFill="1" applyBorder="1" applyAlignment="1">
      <alignment horizontal="center" vertical="center"/>
    </xf>
    <xf numFmtId="2" fontId="9" fillId="4" borderId="21" xfId="1" applyNumberFormat="1" applyFont="1" applyFill="1" applyBorder="1" applyAlignment="1">
      <alignment horizontal="center" vertical="center" wrapText="1"/>
    </xf>
    <xf numFmtId="0" fontId="8" fillId="5" borderId="16" xfId="1" applyFont="1" applyFill="1" applyBorder="1" applyAlignment="1">
      <alignment horizontal="center" vertical="center" wrapText="1"/>
    </xf>
    <xf numFmtId="0" fontId="8" fillId="5" borderId="17" xfId="1" applyFont="1" applyFill="1" applyBorder="1" applyAlignment="1">
      <alignment horizontal="center" vertical="center" wrapText="1"/>
    </xf>
    <xf numFmtId="176" fontId="8" fillId="5" borderId="22" xfId="1" applyNumberFormat="1" applyFont="1" applyFill="1" applyBorder="1" applyAlignment="1">
      <alignment horizontal="center" vertical="center"/>
    </xf>
    <xf numFmtId="176" fontId="8" fillId="5" borderId="23" xfId="1" applyNumberFormat="1" applyFont="1" applyFill="1" applyBorder="1" applyAlignment="1">
      <alignment horizontal="center" vertical="center"/>
    </xf>
    <xf numFmtId="176" fontId="8" fillId="5" borderId="24" xfId="1" applyNumberFormat="1" applyFont="1" applyFill="1" applyBorder="1" applyAlignment="1">
      <alignment horizontal="center" vertical="center"/>
    </xf>
    <xf numFmtId="2" fontId="9" fillId="5" borderId="25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3">
    <cellStyle name="常规" xfId="0" builtinId="0"/>
    <cellStyle name="常规 2" xfId="1" xr:uid="{00000000-0005-0000-0000-000031000000}"/>
    <cellStyle name="常规 9" xfId="2" xr:uid="{00000000-0005-0000-0000-000032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tabSelected="1" workbookViewId="0">
      <selection activeCell="J60" sqref="J60"/>
    </sheetView>
  </sheetViews>
  <sheetFormatPr defaultColWidth="9" defaultRowHeight="16.5" x14ac:dyDescent="0.25"/>
  <cols>
    <col min="1" max="1" width="5.7265625" style="2" customWidth="1"/>
    <col min="2" max="2" width="25.6328125" style="2" customWidth="1"/>
    <col min="3" max="9" width="6.81640625" style="2" customWidth="1"/>
    <col min="10" max="10" width="66.26953125" style="2" customWidth="1"/>
    <col min="11" max="12" width="9" style="2"/>
    <col min="13" max="13" width="10.36328125" style="2"/>
    <col min="14" max="16384" width="9" style="2"/>
  </cols>
  <sheetData>
    <row r="1" spans="1:10" ht="27.5" customHeight="1" x14ac:dyDescent="0.25">
      <c r="A1" s="1" t="s">
        <v>93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3" t="s">
        <v>0</v>
      </c>
      <c r="B2" s="4" t="s">
        <v>1</v>
      </c>
      <c r="C2" s="5" t="s">
        <v>2</v>
      </c>
      <c r="D2" s="6"/>
      <c r="E2" s="6"/>
      <c r="F2" s="6"/>
      <c r="G2" s="6"/>
      <c r="H2" s="6"/>
      <c r="I2" s="6"/>
      <c r="J2" s="7"/>
    </row>
    <row r="3" spans="1:10" x14ac:dyDescent="0.25">
      <c r="A3" s="8"/>
      <c r="B3" s="9" t="s">
        <v>97</v>
      </c>
      <c r="C3" s="10">
        <v>20</v>
      </c>
      <c r="D3" s="11">
        <v>50</v>
      </c>
      <c r="E3" s="11">
        <v>80</v>
      </c>
      <c r="F3" s="11">
        <v>100</v>
      </c>
      <c r="G3" s="12">
        <v>150</v>
      </c>
      <c r="H3" s="12">
        <v>200</v>
      </c>
      <c r="I3" s="12">
        <v>300</v>
      </c>
      <c r="J3" s="13" t="s">
        <v>3</v>
      </c>
    </row>
    <row r="4" spans="1:10" ht="13" customHeight="1" x14ac:dyDescent="0.25">
      <c r="A4" s="14" t="s">
        <v>4</v>
      </c>
      <c r="B4" s="15" t="s">
        <v>5</v>
      </c>
      <c r="C4" s="16">
        <f t="shared" ref="C4:I4" si="0">SUM(C5,C19,C29)</f>
        <v>3.2470371428571427</v>
      </c>
      <c r="D4" s="17">
        <f t="shared" si="0"/>
        <v>2.2143651428571429</v>
      </c>
      <c r="E4" s="17">
        <f t="shared" si="0"/>
        <v>3.1027871428571423</v>
      </c>
      <c r="F4" s="17">
        <f t="shared" si="0"/>
        <v>3.0686371428571428</v>
      </c>
      <c r="G4" s="17">
        <f t="shared" si="0"/>
        <v>3.0410371428571428</v>
      </c>
      <c r="H4" s="17">
        <f t="shared" si="0"/>
        <v>2.3033651428571429</v>
      </c>
      <c r="I4" s="17">
        <f t="shared" si="0"/>
        <v>2.9566984761904758</v>
      </c>
      <c r="J4" s="18"/>
    </row>
    <row r="5" spans="1:10" ht="13" customHeight="1" x14ac:dyDescent="0.25">
      <c r="A5" s="14">
        <v>1</v>
      </c>
      <c r="B5" s="15" t="s">
        <v>6</v>
      </c>
      <c r="C5" s="16">
        <f t="shared" ref="C5:I5" si="1">C6+C12+C18</f>
        <v>2.8420371428571429</v>
      </c>
      <c r="D5" s="17">
        <f t="shared" si="1"/>
        <v>1.8633651428571429</v>
      </c>
      <c r="E5" s="17">
        <f t="shared" si="1"/>
        <v>2.8370371428571426</v>
      </c>
      <c r="F5" s="17">
        <f t="shared" si="1"/>
        <v>2.8320371428571427</v>
      </c>
      <c r="G5" s="17">
        <f t="shared" si="1"/>
        <v>2.8320371428571427</v>
      </c>
      <c r="H5" s="17">
        <f t="shared" si="1"/>
        <v>1.933365142857143</v>
      </c>
      <c r="I5" s="17">
        <f t="shared" si="1"/>
        <v>2.7833651428571424</v>
      </c>
      <c r="J5" s="19"/>
    </row>
    <row r="6" spans="1:10" ht="13" customHeight="1" x14ac:dyDescent="0.25">
      <c r="A6" s="14">
        <v>1.1000000000000001</v>
      </c>
      <c r="B6" s="15" t="s">
        <v>7</v>
      </c>
      <c r="C6" s="16">
        <f t="shared" ref="C6:I6" si="2">SUM(C7:C11)</f>
        <v>2.5158399999999999</v>
      </c>
      <c r="D6" s="17">
        <f t="shared" si="2"/>
        <v>1.5658400000000001</v>
      </c>
      <c r="E6" s="17">
        <f t="shared" si="2"/>
        <v>2.5158399999999999</v>
      </c>
      <c r="F6" s="17">
        <f t="shared" si="2"/>
        <v>2.5158399999999999</v>
      </c>
      <c r="G6" s="17">
        <f t="shared" si="2"/>
        <v>2.5158399999999999</v>
      </c>
      <c r="H6" s="17">
        <f t="shared" si="2"/>
        <v>1.5658400000000001</v>
      </c>
      <c r="I6" s="17">
        <f t="shared" si="2"/>
        <v>2.5158399999999999</v>
      </c>
      <c r="J6" s="19"/>
    </row>
    <row r="7" spans="1:10" ht="13" customHeight="1" x14ac:dyDescent="0.25">
      <c r="A7" s="20" t="s">
        <v>8</v>
      </c>
      <c r="B7" s="21" t="s">
        <v>89</v>
      </c>
      <c r="C7" s="22">
        <v>1.95</v>
      </c>
      <c r="D7" s="23">
        <v>1</v>
      </c>
      <c r="E7" s="23">
        <v>1.95</v>
      </c>
      <c r="F7" s="23">
        <v>1.95</v>
      </c>
      <c r="G7" s="23">
        <v>1.95</v>
      </c>
      <c r="H7" s="23">
        <v>1</v>
      </c>
      <c r="I7" s="23">
        <v>1.95</v>
      </c>
      <c r="J7" s="24" t="s">
        <v>9</v>
      </c>
    </row>
    <row r="8" spans="1:10" ht="13" customHeight="1" x14ac:dyDescent="0.25">
      <c r="A8" s="20" t="s">
        <v>10</v>
      </c>
      <c r="B8" s="21" t="s">
        <v>11</v>
      </c>
      <c r="C8" s="22">
        <f t="shared" ref="C8:I8" si="3">32*0.862/100</f>
        <v>0.27583999999999997</v>
      </c>
      <c r="D8" s="23">
        <f t="shared" si="3"/>
        <v>0.27583999999999997</v>
      </c>
      <c r="E8" s="23">
        <f t="shared" si="3"/>
        <v>0.27583999999999997</v>
      </c>
      <c r="F8" s="23">
        <f t="shared" si="3"/>
        <v>0.27583999999999997</v>
      </c>
      <c r="G8" s="23">
        <f t="shared" si="3"/>
        <v>0.27583999999999997</v>
      </c>
      <c r="H8" s="23">
        <f t="shared" si="3"/>
        <v>0.27583999999999997</v>
      </c>
      <c r="I8" s="23">
        <f t="shared" si="3"/>
        <v>0.27583999999999997</v>
      </c>
      <c r="J8" s="24" t="s">
        <v>12</v>
      </c>
    </row>
    <row r="9" spans="1:10" ht="13" customHeight="1" x14ac:dyDescent="0.25">
      <c r="A9" s="20" t="s">
        <v>13</v>
      </c>
      <c r="B9" s="21" t="s">
        <v>14</v>
      </c>
      <c r="C9" s="22">
        <f t="shared" ref="C9:I9" si="4">0.18/1.2</f>
        <v>0.15</v>
      </c>
      <c r="D9" s="23">
        <f t="shared" si="4"/>
        <v>0.15</v>
      </c>
      <c r="E9" s="23">
        <f t="shared" si="4"/>
        <v>0.15</v>
      </c>
      <c r="F9" s="23">
        <f t="shared" si="4"/>
        <v>0.15</v>
      </c>
      <c r="G9" s="23">
        <f t="shared" si="4"/>
        <v>0.15</v>
      </c>
      <c r="H9" s="23">
        <f t="shared" si="4"/>
        <v>0.15</v>
      </c>
      <c r="I9" s="23">
        <f t="shared" si="4"/>
        <v>0.15</v>
      </c>
      <c r="J9" s="24" t="s">
        <v>15</v>
      </c>
    </row>
    <row r="10" spans="1:10" ht="13" customHeight="1" x14ac:dyDescent="0.25">
      <c r="A10" s="20" t="s">
        <v>13</v>
      </c>
      <c r="B10" s="21" t="s">
        <v>16</v>
      </c>
      <c r="C10" s="22">
        <v>0.02</v>
      </c>
      <c r="D10" s="23">
        <v>0.02</v>
      </c>
      <c r="E10" s="23">
        <v>0.02</v>
      </c>
      <c r="F10" s="23">
        <v>0.02</v>
      </c>
      <c r="G10" s="25">
        <f t="shared" ref="G10:I10" si="5">F10</f>
        <v>0.02</v>
      </c>
      <c r="H10" s="25">
        <f t="shared" si="5"/>
        <v>0.02</v>
      </c>
      <c r="I10" s="25">
        <f t="shared" si="5"/>
        <v>0.02</v>
      </c>
      <c r="J10" s="24"/>
    </row>
    <row r="11" spans="1:10" ht="13" customHeight="1" x14ac:dyDescent="0.25">
      <c r="A11" s="20" t="s">
        <v>17</v>
      </c>
      <c r="B11" s="21" t="s">
        <v>18</v>
      </c>
      <c r="C11" s="22">
        <v>0.12</v>
      </c>
      <c r="D11" s="23">
        <v>0.12</v>
      </c>
      <c r="E11" s="23">
        <v>0.12</v>
      </c>
      <c r="F11" s="23">
        <v>0.12</v>
      </c>
      <c r="G11" s="25">
        <f t="shared" ref="G11:I11" si="6">F11</f>
        <v>0.12</v>
      </c>
      <c r="H11" s="25">
        <f t="shared" si="6"/>
        <v>0.12</v>
      </c>
      <c r="I11" s="25">
        <f t="shared" si="6"/>
        <v>0.12</v>
      </c>
      <c r="J11" s="24" t="s">
        <v>19</v>
      </c>
    </row>
    <row r="12" spans="1:10" ht="13" customHeight="1" x14ac:dyDescent="0.25">
      <c r="A12" s="14">
        <v>1.2</v>
      </c>
      <c r="B12" s="15" t="s">
        <v>20</v>
      </c>
      <c r="C12" s="16">
        <f t="shared" ref="C12:I12" si="7">SUM(C13:C17)</f>
        <v>0.14619714285714286</v>
      </c>
      <c r="D12" s="17">
        <f t="shared" si="7"/>
        <v>0.11752514285714287</v>
      </c>
      <c r="E12" s="17">
        <f t="shared" si="7"/>
        <v>0.14619714285714286</v>
      </c>
      <c r="F12" s="17">
        <f t="shared" si="7"/>
        <v>0.14619714285714286</v>
      </c>
      <c r="G12" s="17">
        <f t="shared" si="7"/>
        <v>0.14619714285714286</v>
      </c>
      <c r="H12" s="17">
        <f t="shared" si="7"/>
        <v>0.11752514285714287</v>
      </c>
      <c r="I12" s="17">
        <f t="shared" si="7"/>
        <v>0.11752514285714287</v>
      </c>
      <c r="J12" s="19"/>
    </row>
    <row r="13" spans="1:10" ht="13" customHeight="1" x14ac:dyDescent="0.25">
      <c r="A13" s="20" t="s">
        <v>21</v>
      </c>
      <c r="B13" s="21" t="s">
        <v>22</v>
      </c>
      <c r="C13" s="22">
        <f t="shared" ref="C13:I13" si="8">1.5*120*7*2/540/56</f>
        <v>8.3333333333333343E-2</v>
      </c>
      <c r="D13" s="23">
        <f t="shared" si="8"/>
        <v>8.3333333333333343E-2</v>
      </c>
      <c r="E13" s="23">
        <f t="shared" si="8"/>
        <v>8.3333333333333343E-2</v>
      </c>
      <c r="F13" s="23">
        <f t="shared" si="8"/>
        <v>8.3333333333333343E-2</v>
      </c>
      <c r="G13" s="23">
        <f t="shared" si="8"/>
        <v>8.3333333333333343E-2</v>
      </c>
      <c r="H13" s="23">
        <f t="shared" si="8"/>
        <v>8.3333333333333343E-2</v>
      </c>
      <c r="I13" s="23">
        <f t="shared" si="8"/>
        <v>8.3333333333333343E-2</v>
      </c>
      <c r="J13" s="26" t="s">
        <v>23</v>
      </c>
    </row>
    <row r="14" spans="1:10" ht="13" customHeight="1" x14ac:dyDescent="0.25">
      <c r="A14" s="20" t="s">
        <v>24</v>
      </c>
      <c r="B14" s="21" t="s">
        <v>25</v>
      </c>
      <c r="C14" s="22">
        <f t="shared" ref="C14:I14" si="9">3/315</f>
        <v>9.5238095238095247E-3</v>
      </c>
      <c r="D14" s="23">
        <f t="shared" si="9"/>
        <v>9.5238095238095247E-3</v>
      </c>
      <c r="E14" s="23">
        <f t="shared" si="9"/>
        <v>9.5238095238095247E-3</v>
      </c>
      <c r="F14" s="23">
        <f t="shared" si="9"/>
        <v>9.5238095238095247E-3</v>
      </c>
      <c r="G14" s="23">
        <f t="shared" si="9"/>
        <v>9.5238095238095247E-3</v>
      </c>
      <c r="H14" s="23">
        <f t="shared" si="9"/>
        <v>9.5238095238095247E-3</v>
      </c>
      <c r="I14" s="23">
        <f t="shared" si="9"/>
        <v>9.5238095238095247E-3</v>
      </c>
      <c r="J14" s="24" t="s">
        <v>26</v>
      </c>
    </row>
    <row r="15" spans="1:10" ht="13" customHeight="1" x14ac:dyDescent="0.25">
      <c r="A15" s="20" t="s">
        <v>27</v>
      </c>
      <c r="B15" s="21" t="s">
        <v>28</v>
      </c>
      <c r="C15" s="22">
        <f t="shared" ref="C15:F15" si="10">0.8*25*667/1000000</f>
        <v>1.3339999999999999E-2</v>
      </c>
      <c r="D15" s="23">
        <f>0.8*5*667/1000000</f>
        <v>2.6679999999999998E-3</v>
      </c>
      <c r="E15" s="23">
        <f>0.8*25*667/1000000</f>
        <v>1.3339999999999999E-2</v>
      </c>
      <c r="F15" s="23">
        <f t="shared" si="10"/>
        <v>1.3339999999999999E-2</v>
      </c>
      <c r="G15" s="25">
        <f>0.8*25*667/1000000</f>
        <v>1.3339999999999999E-2</v>
      </c>
      <c r="H15" s="25">
        <f>0.8*5*667/1000000</f>
        <v>2.6679999999999998E-3</v>
      </c>
      <c r="I15" s="25">
        <f t="shared" ref="I15" si="11">H15</f>
        <v>2.6679999999999998E-3</v>
      </c>
      <c r="J15" s="26" t="s">
        <v>90</v>
      </c>
    </row>
    <row r="16" spans="1:10" ht="13" customHeight="1" x14ac:dyDescent="0.25">
      <c r="A16" s="20" t="s">
        <v>29</v>
      </c>
      <c r="B16" s="21" t="s">
        <v>30</v>
      </c>
      <c r="C16" s="22">
        <v>0.02</v>
      </c>
      <c r="D16" s="23">
        <v>2E-3</v>
      </c>
      <c r="E16" s="23">
        <v>0.02</v>
      </c>
      <c r="F16" s="23">
        <v>0.02</v>
      </c>
      <c r="G16" s="25">
        <f t="shared" ref="G16:I16" si="12">F16</f>
        <v>0.02</v>
      </c>
      <c r="H16" s="25">
        <v>2E-3</v>
      </c>
      <c r="I16" s="25">
        <f t="shared" si="12"/>
        <v>2E-3</v>
      </c>
      <c r="J16" s="26" t="s">
        <v>91</v>
      </c>
    </row>
    <row r="17" spans="1:10" ht="13" customHeight="1" x14ac:dyDescent="0.25">
      <c r="A17" s="20" t="s">
        <v>31</v>
      </c>
      <c r="B17" s="21" t="s">
        <v>32</v>
      </c>
      <c r="C17" s="22">
        <v>0.02</v>
      </c>
      <c r="D17" s="23">
        <v>0.02</v>
      </c>
      <c r="E17" s="23">
        <v>0.02</v>
      </c>
      <c r="F17" s="23">
        <v>0.02</v>
      </c>
      <c r="G17" s="23">
        <v>0.02</v>
      </c>
      <c r="H17" s="23">
        <v>0.02</v>
      </c>
      <c r="I17" s="23">
        <v>0.02</v>
      </c>
      <c r="J17" s="27"/>
    </row>
    <row r="18" spans="1:10" ht="13" customHeight="1" x14ac:dyDescent="0.25">
      <c r="A18" s="14">
        <v>1.3</v>
      </c>
      <c r="B18" s="15" t="s">
        <v>33</v>
      </c>
      <c r="C18" s="16">
        <v>0.18</v>
      </c>
      <c r="D18" s="17">
        <v>0.18</v>
      </c>
      <c r="E18" s="17">
        <v>0.17499999999999999</v>
      </c>
      <c r="F18" s="17">
        <v>0.17</v>
      </c>
      <c r="G18" s="28">
        <f>F18</f>
        <v>0.17</v>
      </c>
      <c r="H18" s="28">
        <v>0.25</v>
      </c>
      <c r="I18" s="28">
        <v>0.15</v>
      </c>
      <c r="J18" s="19"/>
    </row>
    <row r="19" spans="1:10" ht="13" customHeight="1" x14ac:dyDescent="0.25">
      <c r="A19" s="14">
        <v>2</v>
      </c>
      <c r="B19" s="15" t="s">
        <v>34</v>
      </c>
      <c r="C19" s="16">
        <f t="shared" ref="C19:I19" si="13">C20+C23+C26</f>
        <v>0.35499999999999998</v>
      </c>
      <c r="D19" s="17">
        <f t="shared" si="13"/>
        <v>0.32500000000000001</v>
      </c>
      <c r="E19" s="17">
        <f t="shared" si="13"/>
        <v>0.2455</v>
      </c>
      <c r="F19" s="17">
        <f t="shared" si="13"/>
        <v>0.21760000000000002</v>
      </c>
      <c r="G19" s="17">
        <f t="shared" si="13"/>
        <v>0.193</v>
      </c>
      <c r="H19" s="17">
        <f t="shared" si="13"/>
        <v>0.35499999999999998</v>
      </c>
      <c r="I19" s="17">
        <f t="shared" si="13"/>
        <v>0.15999999999999998</v>
      </c>
      <c r="J19" s="19"/>
    </row>
    <row r="20" spans="1:10" ht="13" customHeight="1" x14ac:dyDescent="0.25">
      <c r="A20" s="14">
        <v>2.1</v>
      </c>
      <c r="B20" s="15" t="s">
        <v>35</v>
      </c>
      <c r="C20" s="16">
        <f t="shared" ref="C20:I20" si="14">SUM(C21:C22)</f>
        <v>0.25</v>
      </c>
      <c r="D20" s="17">
        <f t="shared" si="14"/>
        <v>0.24</v>
      </c>
      <c r="E20" s="17">
        <f t="shared" si="14"/>
        <v>0.18</v>
      </c>
      <c r="F20" s="17">
        <f t="shared" si="14"/>
        <v>0.16</v>
      </c>
      <c r="G20" s="17">
        <f t="shared" si="14"/>
        <v>0.14000000000000001</v>
      </c>
      <c r="H20" s="17">
        <f t="shared" si="14"/>
        <v>0.13</v>
      </c>
      <c r="I20" s="17">
        <f t="shared" si="14"/>
        <v>0.12</v>
      </c>
      <c r="J20" s="19"/>
    </row>
    <row r="21" spans="1:10" ht="13" customHeight="1" x14ac:dyDescent="0.25">
      <c r="A21" s="20" t="s">
        <v>36</v>
      </c>
      <c r="B21" s="21" t="s">
        <v>37</v>
      </c>
      <c r="C21" s="22">
        <v>0.25</v>
      </c>
      <c r="D21" s="23"/>
      <c r="E21" s="23"/>
      <c r="F21" s="23"/>
      <c r="G21" s="25"/>
      <c r="H21" s="25"/>
      <c r="I21" s="25"/>
      <c r="J21" s="24"/>
    </row>
    <row r="22" spans="1:10" ht="13" customHeight="1" x14ac:dyDescent="0.25">
      <c r="A22" s="20" t="s">
        <v>36</v>
      </c>
      <c r="B22" s="21" t="s">
        <v>38</v>
      </c>
      <c r="C22" s="22"/>
      <c r="D22" s="23">
        <v>0.24</v>
      </c>
      <c r="E22" s="23">
        <v>0.18</v>
      </c>
      <c r="F22" s="23">
        <v>0.16</v>
      </c>
      <c r="G22" s="25">
        <v>0.14000000000000001</v>
      </c>
      <c r="H22" s="25">
        <v>0.13</v>
      </c>
      <c r="I22" s="25">
        <v>0.12</v>
      </c>
      <c r="J22" s="24"/>
    </row>
    <row r="23" spans="1:10" ht="13" customHeight="1" x14ac:dyDescent="0.25">
      <c r="A23" s="14">
        <v>2.2000000000000002</v>
      </c>
      <c r="B23" s="15" t="s">
        <v>39</v>
      </c>
      <c r="C23" s="16">
        <v>0.05</v>
      </c>
      <c r="D23" s="17">
        <f t="shared" ref="D23:I23" si="15">SUM(D24:D25)</f>
        <v>3.5000000000000003E-2</v>
      </c>
      <c r="E23" s="17">
        <f t="shared" si="15"/>
        <v>3.2500000000000001E-2</v>
      </c>
      <c r="F23" s="17">
        <f t="shared" si="15"/>
        <v>2.7999999999999997E-2</v>
      </c>
      <c r="G23" s="17">
        <f t="shared" si="15"/>
        <v>2.3E-2</v>
      </c>
      <c r="H23" s="17">
        <f t="shared" si="15"/>
        <v>0.1</v>
      </c>
      <c r="I23" s="17">
        <f t="shared" si="15"/>
        <v>0.02</v>
      </c>
      <c r="J23" s="19"/>
    </row>
    <row r="24" spans="1:10" ht="13" customHeight="1" x14ac:dyDescent="0.25">
      <c r="A24" s="20" t="s">
        <v>40</v>
      </c>
      <c r="B24" s="21" t="s">
        <v>41</v>
      </c>
      <c r="C24" s="22">
        <f>130/C3/100</f>
        <v>6.5000000000000002E-2</v>
      </c>
      <c r="D24" s="23"/>
      <c r="E24" s="29"/>
      <c r="F24" s="29"/>
      <c r="G24" s="30"/>
      <c r="H24" s="30"/>
      <c r="I24" s="30"/>
      <c r="J24" s="24"/>
    </row>
    <row r="25" spans="1:10" ht="13" customHeight="1" x14ac:dyDescent="0.25">
      <c r="A25" s="20" t="s">
        <v>40</v>
      </c>
      <c r="B25" s="21" t="s">
        <v>42</v>
      </c>
      <c r="C25" s="20"/>
      <c r="D25" s="29">
        <v>3.5000000000000003E-2</v>
      </c>
      <c r="E25" s="23">
        <f>(220+10*(E3/10-4))/E3/100</f>
        <v>3.2500000000000001E-2</v>
      </c>
      <c r="F25" s="23">
        <f>(220+10*(F3/10-4))/F3/100</f>
        <v>2.7999999999999997E-2</v>
      </c>
      <c r="G25" s="25">
        <v>2.3E-2</v>
      </c>
      <c r="H25" s="25">
        <v>0.1</v>
      </c>
      <c r="I25" s="25">
        <v>0.02</v>
      </c>
      <c r="J25" s="24"/>
    </row>
    <row r="26" spans="1:10" ht="13" customHeight="1" x14ac:dyDescent="0.25">
      <c r="A26" s="14">
        <v>2.2999999999999998</v>
      </c>
      <c r="B26" s="15" t="s">
        <v>43</v>
      </c>
      <c r="C26" s="16">
        <f t="shared" ref="C26:I26" si="16">SUM(C27:C28)</f>
        <v>5.5E-2</v>
      </c>
      <c r="D26" s="17">
        <f t="shared" si="16"/>
        <v>0.05</v>
      </c>
      <c r="E26" s="17">
        <f t="shared" si="16"/>
        <v>3.3000000000000002E-2</v>
      </c>
      <c r="F26" s="17">
        <f t="shared" si="16"/>
        <v>2.9600000000000001E-2</v>
      </c>
      <c r="G26" s="17">
        <f t="shared" si="16"/>
        <v>0.03</v>
      </c>
      <c r="H26" s="17">
        <f t="shared" si="16"/>
        <v>0.125</v>
      </c>
      <c r="I26" s="17">
        <f t="shared" si="16"/>
        <v>0.02</v>
      </c>
      <c r="J26" s="19"/>
    </row>
    <row r="27" spans="1:10" ht="13" customHeight="1" x14ac:dyDescent="0.25">
      <c r="A27" s="20" t="s">
        <v>44</v>
      </c>
      <c r="B27" s="21" t="s">
        <v>45</v>
      </c>
      <c r="C27" s="22">
        <f>(1100000)/C3/10^6</f>
        <v>5.5E-2</v>
      </c>
      <c r="D27" s="23"/>
      <c r="E27" s="23"/>
      <c r="F27" s="23"/>
      <c r="G27" s="25"/>
      <c r="H27" s="25"/>
      <c r="I27" s="25"/>
      <c r="J27" s="24"/>
    </row>
    <row r="28" spans="1:10" ht="13" customHeight="1" x14ac:dyDescent="0.25">
      <c r="A28" s="20" t="s">
        <v>44</v>
      </c>
      <c r="B28" s="21" t="s">
        <v>46</v>
      </c>
      <c r="C28" s="22"/>
      <c r="D28" s="23">
        <v>0.05</v>
      </c>
      <c r="E28" s="23">
        <f>(200+16*(E3/10-4))/E3/100</f>
        <v>3.3000000000000002E-2</v>
      </c>
      <c r="F28" s="23">
        <f>(200+16*(F3/10-4))/F3/100</f>
        <v>2.9600000000000001E-2</v>
      </c>
      <c r="G28" s="25">
        <v>0.03</v>
      </c>
      <c r="H28" s="25">
        <v>0.125</v>
      </c>
      <c r="I28" s="25">
        <v>0.02</v>
      </c>
      <c r="J28" s="24"/>
    </row>
    <row r="29" spans="1:10" ht="13" customHeight="1" x14ac:dyDescent="0.25">
      <c r="A29" s="14">
        <v>3</v>
      </c>
      <c r="B29" s="15" t="s">
        <v>47</v>
      </c>
      <c r="C29" s="16">
        <f t="shared" ref="C29:I29" si="17">SUM(C30:C31)</f>
        <v>0.05</v>
      </c>
      <c r="D29" s="17">
        <f t="shared" si="17"/>
        <v>2.6000000000000002E-2</v>
      </c>
      <c r="E29" s="17">
        <f t="shared" si="17"/>
        <v>2.0250000000000001E-2</v>
      </c>
      <c r="F29" s="17">
        <f t="shared" si="17"/>
        <v>1.9E-2</v>
      </c>
      <c r="G29" s="17">
        <f t="shared" si="17"/>
        <v>1.6E-2</v>
      </c>
      <c r="H29" s="17">
        <f t="shared" si="17"/>
        <v>1.4999999999999999E-2</v>
      </c>
      <c r="I29" s="17">
        <f t="shared" si="17"/>
        <v>1.3333333333333332E-2</v>
      </c>
      <c r="J29" s="19"/>
    </row>
    <row r="30" spans="1:10" ht="13" customHeight="1" x14ac:dyDescent="0.25">
      <c r="A30" s="20">
        <v>3.1</v>
      </c>
      <c r="B30" s="21" t="s">
        <v>88</v>
      </c>
      <c r="C30" s="22">
        <f>50/C3/100</f>
        <v>2.5000000000000001E-2</v>
      </c>
      <c r="D30" s="23">
        <f>50/D3/100</f>
        <v>0.01</v>
      </c>
      <c r="E30" s="23">
        <f>50/E3/100</f>
        <v>6.2500000000000003E-3</v>
      </c>
      <c r="F30" s="23">
        <f t="shared" ref="F30:H30" si="18">60/F3/100</f>
        <v>6.0000000000000001E-3</v>
      </c>
      <c r="G30" s="23">
        <f t="shared" si="18"/>
        <v>4.0000000000000001E-3</v>
      </c>
      <c r="H30" s="23">
        <f t="shared" si="18"/>
        <v>3.0000000000000001E-3</v>
      </c>
      <c r="I30" s="23">
        <f>70/I3/100</f>
        <v>2.3333333333333335E-3</v>
      </c>
      <c r="J30" s="24"/>
    </row>
    <row r="31" spans="1:10" ht="13" customHeight="1" x14ac:dyDescent="0.25">
      <c r="A31" s="20">
        <v>3.2</v>
      </c>
      <c r="B31" s="21" t="s">
        <v>48</v>
      </c>
      <c r="C31" s="22">
        <f t="shared" ref="C31:I31" si="19">ROUND((40+10*(C3/10-1))/C3/100,3)</f>
        <v>2.5000000000000001E-2</v>
      </c>
      <c r="D31" s="23">
        <f t="shared" si="19"/>
        <v>1.6E-2</v>
      </c>
      <c r="E31" s="23">
        <f t="shared" si="19"/>
        <v>1.4E-2</v>
      </c>
      <c r="F31" s="23">
        <f t="shared" si="19"/>
        <v>1.2999999999999999E-2</v>
      </c>
      <c r="G31" s="23">
        <f t="shared" si="19"/>
        <v>1.2E-2</v>
      </c>
      <c r="H31" s="23">
        <f t="shared" si="19"/>
        <v>1.2E-2</v>
      </c>
      <c r="I31" s="23">
        <f t="shared" si="19"/>
        <v>1.0999999999999999E-2</v>
      </c>
      <c r="J31" s="24"/>
    </row>
    <row r="32" spans="1:10" ht="13" customHeight="1" x14ac:dyDescent="0.25">
      <c r="A32" s="14" t="s">
        <v>49</v>
      </c>
      <c r="B32" s="15" t="s">
        <v>50</v>
      </c>
      <c r="C32" s="16">
        <f t="shared" ref="C32:I32" si="20">SUM(C33:C36)</f>
        <v>0.23500000000000001</v>
      </c>
      <c r="D32" s="17">
        <f t="shared" si="20"/>
        <v>0.23600000000000002</v>
      </c>
      <c r="E32" s="17">
        <f t="shared" si="20"/>
        <v>0.14749999999999999</v>
      </c>
      <c r="F32" s="17">
        <f t="shared" si="20"/>
        <v>0.11800000000000001</v>
      </c>
      <c r="G32" s="17">
        <f t="shared" si="20"/>
        <v>7.8666666666666663E-2</v>
      </c>
      <c r="H32" s="17">
        <f t="shared" si="20"/>
        <v>0.17549999999999999</v>
      </c>
      <c r="I32" s="17">
        <f t="shared" si="20"/>
        <v>5.8666666666666673E-2</v>
      </c>
      <c r="J32" s="19"/>
    </row>
    <row r="33" spans="1:10" ht="13" customHeight="1" x14ac:dyDescent="0.25">
      <c r="A33" s="20">
        <v>1.1000000000000001</v>
      </c>
      <c r="B33" s="21" t="s">
        <v>51</v>
      </c>
      <c r="C33" s="22">
        <f>65*6/C3/100</f>
        <v>0.19500000000000001</v>
      </c>
      <c r="D33" s="23"/>
      <c r="E33" s="23"/>
      <c r="F33" s="23"/>
      <c r="G33" s="23"/>
      <c r="H33" s="23"/>
      <c r="I33" s="23"/>
      <c r="J33" s="31" t="s">
        <v>52</v>
      </c>
    </row>
    <row r="34" spans="1:10" ht="13" customHeight="1" x14ac:dyDescent="0.25">
      <c r="A34" s="20">
        <v>1.2</v>
      </c>
      <c r="B34" s="21" t="s">
        <v>53</v>
      </c>
      <c r="C34" s="22">
        <f>80/C3/100</f>
        <v>0.04</v>
      </c>
      <c r="D34" s="23"/>
      <c r="E34" s="29"/>
      <c r="F34" s="29"/>
      <c r="G34" s="30"/>
      <c r="H34" s="30"/>
      <c r="I34" s="30"/>
      <c r="J34" s="24" t="s">
        <v>54</v>
      </c>
    </row>
    <row r="35" spans="1:10" ht="13" customHeight="1" x14ac:dyDescent="0.25">
      <c r="A35" s="20">
        <v>2.1</v>
      </c>
      <c r="B35" s="21" t="s">
        <v>55</v>
      </c>
      <c r="C35" s="20"/>
      <c r="D35" s="32">
        <f t="shared" ref="D35:G35" si="21">100*10/D3/100</f>
        <v>0.2</v>
      </c>
      <c r="E35" s="32">
        <f t="shared" si="21"/>
        <v>0.125</v>
      </c>
      <c r="F35" s="32">
        <f t="shared" si="21"/>
        <v>0.1</v>
      </c>
      <c r="G35" s="32">
        <f t="shared" si="21"/>
        <v>6.6666666666666666E-2</v>
      </c>
      <c r="H35" s="32">
        <f>150*21/H3/100</f>
        <v>0.1575</v>
      </c>
      <c r="I35" s="32">
        <f>100*10*1.4/I3/100</f>
        <v>4.6666666666666669E-2</v>
      </c>
      <c r="J35" s="24" t="s">
        <v>56</v>
      </c>
    </row>
    <row r="36" spans="1:10" ht="13" customHeight="1" x14ac:dyDescent="0.25">
      <c r="A36" s="20">
        <v>2.2000000000000002</v>
      </c>
      <c r="B36" s="21" t="s">
        <v>57</v>
      </c>
      <c r="C36" s="20"/>
      <c r="D36" s="29">
        <f t="shared" ref="D36:G36" si="22">180/D3/100</f>
        <v>3.6000000000000004E-2</v>
      </c>
      <c r="E36" s="29">
        <f t="shared" si="22"/>
        <v>2.2499999999999999E-2</v>
      </c>
      <c r="F36" s="29">
        <f t="shared" si="22"/>
        <v>1.8000000000000002E-2</v>
      </c>
      <c r="G36" s="29">
        <f t="shared" si="22"/>
        <v>1.2E-2</v>
      </c>
      <c r="H36" s="29">
        <f>180*2/H3/100</f>
        <v>1.8000000000000002E-2</v>
      </c>
      <c r="I36" s="29">
        <f>180*2/I3/100</f>
        <v>1.2E-2</v>
      </c>
      <c r="J36" s="24" t="s">
        <v>58</v>
      </c>
    </row>
    <row r="37" spans="1:10" ht="13" customHeight="1" x14ac:dyDescent="0.25">
      <c r="A37" s="14" t="s">
        <v>59</v>
      </c>
      <c r="B37" s="15" t="s">
        <v>60</v>
      </c>
      <c r="C37" s="33">
        <f t="shared" ref="C37:I37" si="23">800*25*C3/C3/10^6</f>
        <v>0.02</v>
      </c>
      <c r="D37" s="17">
        <f t="shared" si="23"/>
        <v>0.02</v>
      </c>
      <c r="E37" s="17">
        <f t="shared" si="23"/>
        <v>0.02</v>
      </c>
      <c r="F37" s="17">
        <f t="shared" si="23"/>
        <v>0.02</v>
      </c>
      <c r="G37" s="17">
        <f t="shared" si="23"/>
        <v>0.02</v>
      </c>
      <c r="H37" s="17">
        <f t="shared" si="23"/>
        <v>0.02</v>
      </c>
      <c r="I37" s="17">
        <f t="shared" si="23"/>
        <v>0.02</v>
      </c>
      <c r="J37" s="24"/>
    </row>
    <row r="38" spans="1:10" ht="13" customHeight="1" x14ac:dyDescent="0.25">
      <c r="A38" s="14" t="s">
        <v>61</v>
      </c>
      <c r="B38" s="15" t="s">
        <v>62</v>
      </c>
      <c r="C38" s="16">
        <f>C3*15%*2*1.35/C3</f>
        <v>0.40500000000000008</v>
      </c>
      <c r="D38" s="17">
        <f t="shared" ref="D38:I38" si="24">D3*15%*2*135/D3/100</f>
        <v>0.40500000000000003</v>
      </c>
      <c r="E38" s="17">
        <f t="shared" si="24"/>
        <v>0.40500000000000003</v>
      </c>
      <c r="F38" s="17">
        <f t="shared" si="24"/>
        <v>0.40500000000000003</v>
      </c>
      <c r="G38" s="17">
        <f t="shared" si="24"/>
        <v>0.40500000000000003</v>
      </c>
      <c r="H38" s="17">
        <f t="shared" si="24"/>
        <v>0.40500000000000003</v>
      </c>
      <c r="I38" s="17">
        <f t="shared" si="24"/>
        <v>0.40500000000000003</v>
      </c>
      <c r="J38" s="24" t="s">
        <v>94</v>
      </c>
    </row>
    <row r="39" spans="1:10" ht="13" customHeight="1" x14ac:dyDescent="0.25">
      <c r="A39" s="14" t="s">
        <v>63</v>
      </c>
      <c r="B39" s="15" t="s">
        <v>64</v>
      </c>
      <c r="C39" s="33">
        <f t="shared" ref="C39:I39" si="25">SUM(C40,C45,C48:C52)</f>
        <v>0.38486759285714289</v>
      </c>
      <c r="D39" s="17">
        <f t="shared" si="25"/>
        <v>0.23953591285714285</v>
      </c>
      <c r="E39" s="17">
        <f t="shared" si="25"/>
        <v>0.18375696785714291</v>
      </c>
      <c r="F39" s="17">
        <f t="shared" si="25"/>
        <v>0.16757159285714288</v>
      </c>
      <c r="G39" s="17">
        <f t="shared" si="25"/>
        <v>0.13710259285714288</v>
      </c>
      <c r="H39" s="17">
        <f t="shared" si="25"/>
        <v>0.29187841285714289</v>
      </c>
      <c r="I39" s="17">
        <f t="shared" si="25"/>
        <v>9.9891746190476222E-2</v>
      </c>
      <c r="J39" s="19"/>
    </row>
    <row r="40" spans="1:10" ht="13" customHeight="1" x14ac:dyDescent="0.25">
      <c r="A40" s="20">
        <v>1</v>
      </c>
      <c r="B40" s="21" t="s">
        <v>65</v>
      </c>
      <c r="C40" s="34">
        <f t="shared" ref="C40:I40" si="26">C41+C42+C43+C44</f>
        <v>5.2499999999999998E-2</v>
      </c>
      <c r="D40" s="23">
        <f t="shared" si="26"/>
        <v>3.15E-2</v>
      </c>
      <c r="E40" s="23">
        <f t="shared" si="26"/>
        <v>2.2499999999999999E-2</v>
      </c>
      <c r="F40" s="23">
        <f t="shared" si="26"/>
        <v>1.95E-2</v>
      </c>
      <c r="G40" s="23">
        <f t="shared" si="26"/>
        <v>1.55E-2</v>
      </c>
      <c r="H40" s="23">
        <f>H41+H42+H43+H44</f>
        <v>6.1200000000000004E-3</v>
      </c>
      <c r="I40" s="35">
        <f t="shared" si="26"/>
        <v>1.15E-2</v>
      </c>
      <c r="J40" s="24" t="s">
        <v>95</v>
      </c>
    </row>
    <row r="41" spans="1:10" ht="13" customHeight="1" x14ac:dyDescent="0.25">
      <c r="A41" s="20">
        <v>1.1000000000000001</v>
      </c>
      <c r="B41" s="21" t="s">
        <v>66</v>
      </c>
      <c r="C41" s="34">
        <f>6*15/C3/100</f>
        <v>4.4999999999999998E-2</v>
      </c>
      <c r="D41" s="23">
        <f t="shared" ref="D41:I41" si="27">8*15/D3/100</f>
        <v>2.4E-2</v>
      </c>
      <c r="E41" s="23">
        <f t="shared" si="27"/>
        <v>1.4999999999999999E-2</v>
      </c>
      <c r="F41" s="23">
        <f t="shared" si="27"/>
        <v>1.2E-2</v>
      </c>
      <c r="G41" s="23">
        <f t="shared" si="27"/>
        <v>8.0000000000000002E-3</v>
      </c>
      <c r="H41" s="23">
        <f t="shared" si="27"/>
        <v>6.0000000000000001E-3</v>
      </c>
      <c r="I41" s="35">
        <f t="shared" si="27"/>
        <v>4.0000000000000001E-3</v>
      </c>
      <c r="J41" s="24"/>
    </row>
    <row r="42" spans="1:10" ht="13" customHeight="1" x14ac:dyDescent="0.25">
      <c r="A42" s="20">
        <v>1.2</v>
      </c>
      <c r="B42" s="21" t="s">
        <v>67</v>
      </c>
      <c r="C42" s="34">
        <f t="shared" ref="C42:I42" si="28">C3*25*300/C3/100/10000</f>
        <v>7.4999999999999997E-3</v>
      </c>
      <c r="D42" s="23">
        <f t="shared" si="28"/>
        <v>7.4999999999999997E-3</v>
      </c>
      <c r="E42" s="23">
        <f t="shared" si="28"/>
        <v>7.4999999999999997E-3</v>
      </c>
      <c r="F42" s="23">
        <f t="shared" si="28"/>
        <v>7.4999999999999997E-3</v>
      </c>
      <c r="G42" s="23">
        <f t="shared" si="28"/>
        <v>7.4999999999999997E-3</v>
      </c>
      <c r="H42" s="23">
        <f>240*100/H3/100/10000</f>
        <v>1.1999999999999999E-4</v>
      </c>
      <c r="I42" s="35">
        <f t="shared" si="28"/>
        <v>7.4999999999999997E-3</v>
      </c>
      <c r="J42" s="24" t="s">
        <v>68</v>
      </c>
    </row>
    <row r="43" spans="1:10" ht="13" customHeight="1" x14ac:dyDescent="0.25">
      <c r="A43" s="20">
        <v>1.3</v>
      </c>
      <c r="B43" s="21" t="s">
        <v>69</v>
      </c>
      <c r="C43" s="22"/>
      <c r="D43" s="23"/>
      <c r="E43" s="23"/>
      <c r="F43" s="23"/>
      <c r="G43" s="23"/>
      <c r="H43" s="23"/>
      <c r="I43" s="23"/>
      <c r="J43" s="24"/>
    </row>
    <row r="44" spans="1:10" ht="13" customHeight="1" x14ac:dyDescent="0.25">
      <c r="A44" s="20">
        <v>1.4</v>
      </c>
      <c r="B44" s="21" t="s">
        <v>70</v>
      </c>
      <c r="C44" s="22"/>
      <c r="D44" s="23"/>
      <c r="E44" s="23"/>
      <c r="F44" s="23"/>
      <c r="G44" s="23"/>
      <c r="H44" s="23"/>
      <c r="I44" s="23"/>
      <c r="J44" s="24"/>
    </row>
    <row r="45" spans="1:10" ht="13" customHeight="1" x14ac:dyDescent="0.25">
      <c r="A45" s="20">
        <v>2</v>
      </c>
      <c r="B45" s="21" t="s">
        <v>71</v>
      </c>
      <c r="C45" s="22">
        <f t="shared" ref="C45:I45" si="29">C46+C47</f>
        <v>0.13</v>
      </c>
      <c r="D45" s="23">
        <f t="shared" si="29"/>
        <v>0.09</v>
      </c>
      <c r="E45" s="23">
        <f t="shared" si="29"/>
        <v>6.7500000000000004E-2</v>
      </c>
      <c r="F45" s="23">
        <f t="shared" si="29"/>
        <v>0.06</v>
      </c>
      <c r="G45" s="23">
        <f t="shared" si="29"/>
        <v>0.05</v>
      </c>
      <c r="H45" s="23">
        <f t="shared" si="29"/>
        <v>0.2</v>
      </c>
      <c r="I45" s="23">
        <f t="shared" si="29"/>
        <v>0.04</v>
      </c>
      <c r="J45" s="24" t="s">
        <v>72</v>
      </c>
    </row>
    <row r="46" spans="1:10" ht="13" customHeight="1" x14ac:dyDescent="0.25">
      <c r="A46" s="20">
        <v>2.1</v>
      </c>
      <c r="B46" s="21" t="s">
        <v>73</v>
      </c>
      <c r="C46" s="22">
        <f>200/C3/100+0.03</f>
        <v>0.13</v>
      </c>
      <c r="D46" s="23">
        <f t="shared" ref="D46:I46" si="30">300/D3/100+0.03</f>
        <v>0.09</v>
      </c>
      <c r="E46" s="23">
        <f t="shared" si="30"/>
        <v>6.7500000000000004E-2</v>
      </c>
      <c r="F46" s="23">
        <f t="shared" si="30"/>
        <v>0.06</v>
      </c>
      <c r="G46" s="23">
        <f t="shared" si="30"/>
        <v>0.05</v>
      </c>
      <c r="H46" s="23">
        <v>0.2</v>
      </c>
      <c r="I46" s="23">
        <f t="shared" si="30"/>
        <v>0.04</v>
      </c>
      <c r="J46" s="24"/>
    </row>
    <row r="47" spans="1:10" ht="13" customHeight="1" x14ac:dyDescent="0.25">
      <c r="A47" s="20">
        <v>2.2000000000000002</v>
      </c>
      <c r="B47" s="21" t="s">
        <v>74</v>
      </c>
      <c r="C47" s="22"/>
      <c r="D47" s="23"/>
      <c r="E47" s="23"/>
      <c r="F47" s="23"/>
      <c r="G47" s="23"/>
      <c r="H47" s="23"/>
      <c r="I47" s="23"/>
      <c r="J47" s="24"/>
    </row>
    <row r="48" spans="1:10" ht="29.5" customHeight="1" x14ac:dyDescent="0.25">
      <c r="A48" s="20">
        <v>3</v>
      </c>
      <c r="B48" s="21" t="s">
        <v>75</v>
      </c>
      <c r="C48" s="22">
        <v>0.13</v>
      </c>
      <c r="D48" s="23">
        <f>240/D3/100+0.02</f>
        <v>6.8000000000000005E-2</v>
      </c>
      <c r="E48" s="23">
        <f>260/E3/100+0.02</f>
        <v>5.2500000000000005E-2</v>
      </c>
      <c r="F48" s="23">
        <f t="shared" ref="F48:H48" si="31">300/F3/100+0.02</f>
        <v>0.05</v>
      </c>
      <c r="G48" s="23">
        <f t="shared" si="31"/>
        <v>0.04</v>
      </c>
      <c r="H48" s="23">
        <f t="shared" si="31"/>
        <v>3.5000000000000003E-2</v>
      </c>
      <c r="I48" s="23">
        <v>2.5000000000000001E-2</v>
      </c>
      <c r="J48" s="24" t="s">
        <v>76</v>
      </c>
    </row>
    <row r="49" spans="1:10" ht="13" customHeight="1" x14ac:dyDescent="0.25">
      <c r="A49" s="20">
        <v>4</v>
      </c>
      <c r="B49" s="21" t="s">
        <v>77</v>
      </c>
      <c r="C49" s="22">
        <v>2.5000000000000001E-2</v>
      </c>
      <c r="D49" s="23">
        <v>0.02</v>
      </c>
      <c r="E49" s="23">
        <v>1.4999999999999999E-2</v>
      </c>
      <c r="F49" s="23">
        <v>1.2999999999999999E-2</v>
      </c>
      <c r="G49" s="25">
        <v>1.0999999999999999E-2</v>
      </c>
      <c r="H49" s="25">
        <v>3.5000000000000003E-2</v>
      </c>
      <c r="I49" s="25">
        <v>8.0000000000000002E-3</v>
      </c>
      <c r="J49" s="24" t="s">
        <v>78</v>
      </c>
    </row>
    <row r="50" spans="1:10" ht="13" customHeight="1" x14ac:dyDescent="0.25">
      <c r="A50" s="20">
        <v>5</v>
      </c>
      <c r="B50" s="21" t="s">
        <v>79</v>
      </c>
      <c r="C50" s="22">
        <f>(1.4*C3+5*0.5)/C3/100</f>
        <v>1.525E-2</v>
      </c>
      <c r="D50" s="23">
        <f>(1.4*D3+5*0.5)/D3/100</f>
        <v>1.4499999999999999E-2</v>
      </c>
      <c r="E50" s="23">
        <f>(0.9*E3+8*0.5)/E3/100</f>
        <v>9.4999999999999998E-3</v>
      </c>
      <c r="F50" s="23">
        <f>(0.9*F3+8*0.5)/F3/100</f>
        <v>9.3999999999999986E-3</v>
      </c>
      <c r="G50" s="25">
        <v>7.0000000000000001E-3</v>
      </c>
      <c r="H50" s="25">
        <v>5.0000000000000001E-3</v>
      </c>
      <c r="I50" s="25">
        <v>4.0000000000000001E-3</v>
      </c>
      <c r="J50" s="24"/>
    </row>
    <row r="51" spans="1:10" ht="13" customHeight="1" x14ac:dyDescent="0.25">
      <c r="A51" s="20">
        <v>6</v>
      </c>
      <c r="B51" s="21" t="s">
        <v>80</v>
      </c>
      <c r="C51" s="22">
        <f t="shared" ref="C51:I51" si="32">C4*0.25%</f>
        <v>8.1175928571428566E-3</v>
      </c>
      <c r="D51" s="23">
        <f t="shared" si="32"/>
        <v>5.5359128571428572E-3</v>
      </c>
      <c r="E51" s="23">
        <f t="shared" si="32"/>
        <v>7.7569678571428559E-3</v>
      </c>
      <c r="F51" s="23">
        <f t="shared" si="32"/>
        <v>7.6715928571428572E-3</v>
      </c>
      <c r="G51" s="23">
        <f t="shared" si="32"/>
        <v>7.6025928571428567E-3</v>
      </c>
      <c r="H51" s="23">
        <f t="shared" si="32"/>
        <v>5.7584128571428576E-3</v>
      </c>
      <c r="I51" s="23">
        <f t="shared" si="32"/>
        <v>7.3917461904761898E-3</v>
      </c>
      <c r="J51" s="24"/>
    </row>
    <row r="52" spans="1:10" ht="13" customHeight="1" x14ac:dyDescent="0.25">
      <c r="A52" s="20">
        <v>7</v>
      </c>
      <c r="B52" s="21" t="s">
        <v>81</v>
      </c>
      <c r="C52" s="22">
        <f>ROUND(48/C3/100,3)</f>
        <v>2.4E-2</v>
      </c>
      <c r="D52" s="23">
        <f>ROUND(48/D3/100,3)</f>
        <v>0.01</v>
      </c>
      <c r="E52" s="23">
        <f>ROUND(73/E3/100,3)</f>
        <v>8.9999999999999993E-3</v>
      </c>
      <c r="F52" s="23">
        <f>ROUND(78/F3/100,3)</f>
        <v>8.0000000000000002E-3</v>
      </c>
      <c r="G52" s="25">
        <v>6.0000000000000001E-3</v>
      </c>
      <c r="H52" s="25">
        <v>5.0000000000000001E-3</v>
      </c>
      <c r="I52" s="25">
        <v>4.0000000000000001E-3</v>
      </c>
      <c r="J52" s="24"/>
    </row>
    <row r="53" spans="1:10" ht="13" customHeight="1" x14ac:dyDescent="0.25">
      <c r="A53" s="14" t="s">
        <v>82</v>
      </c>
      <c r="B53" s="15" t="s">
        <v>83</v>
      </c>
      <c r="C53" s="22">
        <f t="shared" ref="C53:I53" si="33">(C4+C32)*2%</f>
        <v>6.9640742857142848E-2</v>
      </c>
      <c r="D53" s="23">
        <f t="shared" si="33"/>
        <v>4.9007302857142866E-2</v>
      </c>
      <c r="E53" s="23">
        <f t="shared" si="33"/>
        <v>6.5005742857142848E-2</v>
      </c>
      <c r="F53" s="23">
        <f t="shared" si="33"/>
        <v>6.3732742857142852E-2</v>
      </c>
      <c r="G53" s="23">
        <f t="shared" si="33"/>
        <v>6.2394076190476183E-2</v>
      </c>
      <c r="H53" s="23">
        <f t="shared" si="33"/>
        <v>4.957730285714286E-2</v>
      </c>
      <c r="I53" s="23">
        <f t="shared" si="33"/>
        <v>6.0307302857142857E-2</v>
      </c>
      <c r="J53" s="24"/>
    </row>
    <row r="54" spans="1:10" ht="13" customHeight="1" x14ac:dyDescent="0.25">
      <c r="A54" s="36" t="s">
        <v>84</v>
      </c>
      <c r="B54" s="37"/>
      <c r="C54" s="38">
        <f t="shared" ref="C54:I54" si="34">SUM(C4,C32,C39,C37,C38,C53)</f>
        <v>4.3615454785714283</v>
      </c>
      <c r="D54" s="39">
        <f t="shared" si="34"/>
        <v>3.1639083585714292</v>
      </c>
      <c r="E54" s="39">
        <f t="shared" si="34"/>
        <v>3.9240498535714274</v>
      </c>
      <c r="F54" s="39">
        <f t="shared" si="34"/>
        <v>3.8429414785714284</v>
      </c>
      <c r="G54" s="39">
        <f t="shared" si="34"/>
        <v>3.7442004785714285</v>
      </c>
      <c r="H54" s="39">
        <f t="shared" si="34"/>
        <v>3.2453208585714282</v>
      </c>
      <c r="I54" s="39">
        <f t="shared" si="34"/>
        <v>3.6005641919047617</v>
      </c>
      <c r="J54" s="40"/>
    </row>
    <row r="55" spans="1:10" ht="13" customHeight="1" x14ac:dyDescent="0.25">
      <c r="A55" s="14" t="s">
        <v>85</v>
      </c>
      <c r="B55" s="15" t="s">
        <v>86</v>
      </c>
      <c r="C55" s="16">
        <f>(C6+C20)*1.1*6.5%*3/12</f>
        <v>4.943939E-2</v>
      </c>
      <c r="D55" s="17">
        <f t="shared" ref="D55:F55" si="35">(D6+D20)*1.1*6.5%*6/12/2</f>
        <v>3.2279390000000005E-2</v>
      </c>
      <c r="E55" s="17">
        <f t="shared" si="35"/>
        <v>4.8188140000000011E-2</v>
      </c>
      <c r="F55" s="17">
        <f t="shared" si="35"/>
        <v>4.7830640000000008E-2</v>
      </c>
      <c r="G55" s="17">
        <f t="shared" ref="G55:I55" si="36">(G6+G20)*1.1*6.5%*8/12/2</f>
        <v>6.329752000000001E-2</v>
      </c>
      <c r="H55" s="17">
        <f t="shared" si="36"/>
        <v>4.0417520000000005E-2</v>
      </c>
      <c r="I55" s="17">
        <f t="shared" si="36"/>
        <v>6.2820853333333343E-2</v>
      </c>
      <c r="J55" s="19"/>
    </row>
    <row r="56" spans="1:10" ht="19.5" customHeight="1" thickBot="1" x14ac:dyDescent="0.3">
      <c r="A56" s="41" t="s">
        <v>87</v>
      </c>
      <c r="B56" s="42"/>
      <c r="C56" s="43">
        <f t="shared" ref="C56:I56" si="37">C54+C55</f>
        <v>4.4109848685714281</v>
      </c>
      <c r="D56" s="44">
        <f t="shared" si="37"/>
        <v>3.196187748571429</v>
      </c>
      <c r="E56" s="44">
        <f t="shared" si="37"/>
        <v>3.9722379935714276</v>
      </c>
      <c r="F56" s="44">
        <f t="shared" si="37"/>
        <v>3.8907721185714284</v>
      </c>
      <c r="G56" s="44">
        <f t="shared" si="37"/>
        <v>3.8074979985714283</v>
      </c>
      <c r="H56" s="44">
        <f t="shared" si="37"/>
        <v>3.2857383785714283</v>
      </c>
      <c r="I56" s="44">
        <f t="shared" si="37"/>
        <v>3.6633850452380949</v>
      </c>
      <c r="J56" s="45">
        <f>(H56*200000000)/100000000</f>
        <v>6.5714767571428565</v>
      </c>
    </row>
    <row r="57" spans="1:10" ht="19.5" customHeight="1" thickBot="1" x14ac:dyDescent="0.3">
      <c r="A57" s="46" t="s">
        <v>92</v>
      </c>
      <c r="B57" s="47"/>
      <c r="C57" s="48">
        <f t="shared" ref="C57:I57" si="38">C56-C38</f>
        <v>4.0059848685714279</v>
      </c>
      <c r="D57" s="48">
        <f t="shared" si="38"/>
        <v>2.7911877485714287</v>
      </c>
      <c r="E57" s="48">
        <f t="shared" si="38"/>
        <v>3.5672379935714273</v>
      </c>
      <c r="F57" s="48">
        <f t="shared" si="38"/>
        <v>3.4857721185714281</v>
      </c>
      <c r="G57" s="48">
        <f t="shared" si="38"/>
        <v>3.4024979985714285</v>
      </c>
      <c r="H57" s="49">
        <f t="shared" si="38"/>
        <v>2.8807383785714284</v>
      </c>
      <c r="I57" s="50">
        <f t="shared" si="38"/>
        <v>3.2583850452380947</v>
      </c>
      <c r="J57" s="51">
        <f>(H57*200000000)/100000000</f>
        <v>5.7614767571428569</v>
      </c>
    </row>
    <row r="58" spans="1:10" ht="64.5" customHeight="1" x14ac:dyDescent="0.25">
      <c r="A58" s="52" t="s">
        <v>96</v>
      </c>
      <c r="B58" s="52"/>
      <c r="C58" s="52"/>
      <c r="D58" s="52"/>
      <c r="E58" s="52"/>
      <c r="F58" s="52"/>
      <c r="G58" s="52"/>
      <c r="H58" s="52"/>
      <c r="I58" s="52"/>
      <c r="J58" s="52"/>
    </row>
  </sheetData>
  <mergeCells count="7">
    <mergeCell ref="A58:J58"/>
    <mergeCell ref="A1:J1"/>
    <mergeCell ref="C2:J2"/>
    <mergeCell ref="A54:B54"/>
    <mergeCell ref="A56:B56"/>
    <mergeCell ref="A57:B57"/>
    <mergeCell ref="A2:A3"/>
  </mergeCells>
  <phoneticPr fontId="3" type="noConversion"/>
  <pageMargins left="0.47244094488188981" right="0.31496062992125984" top="0.19685039370078741" bottom="0.11811023622047245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地面电站</vt:lpstr>
      <vt:lpstr>地面电站!Print_Titles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正瑜 何</cp:lastModifiedBy>
  <cp:lastPrinted>2024-08-05T15:26:11Z</cp:lastPrinted>
  <dcterms:created xsi:type="dcterms:W3CDTF">2023-11-03T05:53:00Z</dcterms:created>
  <dcterms:modified xsi:type="dcterms:W3CDTF">2024-08-05T15:26:17Z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8522CD9C51E945FEA759B4AFC15B890C_11</vt:lpwstr>
  </property>
  <property fmtid="{D5CDD505-2E9C-101B-9397-08002B2CF9AE}" pid="3" name="KSOProductBuildVer">
    <vt:lpwstr>2052-12.1.0.15712</vt:lpwstr>
  </property>
</Properties>
</file>