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94" windowHeight="9805" tabRatio="602" firstSheet="5" activeTab="5"/>
  </bookViews>
  <sheets>
    <sheet name="汇总表" sheetId="5" state="hidden" r:id="rId1"/>
    <sheet name="运维成本" sheetId="1" state="hidden" r:id="rId2"/>
    <sheet name="Assump" sheetId="2" state="hidden" r:id="rId3"/>
    <sheet name="Sheet3" sheetId="8" state="hidden" r:id="rId4"/>
    <sheet name="Cash Flow" sheetId="3" state="hidden" r:id="rId5"/>
    <sheet name="填报信息" sheetId="9" r:id="rId6"/>
    <sheet name="项目手续评估表" sheetId="10" r:id="rId7"/>
    <sheet name="增值税" sheetId="4" state="hidden" r:id="rId8"/>
  </sheets>
  <definedNames>
    <definedName name="_xlnm.Print_Area" localSheetId="2">Assump!$A$1:$I$55</definedName>
    <definedName name="电站分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曹磊</author>
  </authors>
  <commentList>
    <comment ref="B13" authorId="0">
      <text>
        <r>
          <rPr>
            <b/>
            <sz val="9"/>
            <rFont val="宋体"/>
            <charset val="134"/>
          </rPr>
          <t>项目地年等效日照小时数，通过Pvsyst软件查询测算</t>
        </r>
      </text>
    </comment>
    <comment ref="B21" authorId="0">
      <text>
        <r>
          <rPr>
            <b/>
            <sz val="9"/>
            <rFont val="宋体"/>
            <charset val="134"/>
          </rPr>
          <t>根据公司融资、贷款情况确定</t>
        </r>
      </text>
    </comment>
    <comment ref="B22" authorId="0">
      <text>
        <r>
          <rPr>
            <b/>
            <sz val="9"/>
            <rFont val="宋体"/>
            <charset val="134"/>
          </rPr>
          <t>根据公司融资、贷款情况确定</t>
        </r>
      </text>
    </comment>
  </commentList>
</comments>
</file>

<file path=xl/comments2.xml><?xml version="1.0" encoding="utf-8"?>
<comments xmlns="http://schemas.openxmlformats.org/spreadsheetml/2006/main">
  <authors>
    <author>曹磊</author>
  </authors>
  <commentList>
    <comment ref="H14" authorId="0">
      <text>
        <r>
          <rPr>
            <b/>
            <sz val="9"/>
            <rFont val="宋体"/>
            <charset val="134"/>
          </rPr>
          <t>给与企业电价优惠，抵销屋顶租赁费</t>
        </r>
      </text>
    </comment>
    <comment ref="B15" authorId="0">
      <text>
        <r>
          <rPr>
            <b/>
            <sz val="9"/>
            <rFont val="宋体"/>
            <charset val="134"/>
          </rPr>
          <t>首年发电衰减按</t>
        </r>
        <r>
          <rPr>
            <b/>
            <sz val="9"/>
            <rFont val="Tahoma"/>
            <charset val="134"/>
          </rPr>
          <t>2.5%</t>
        </r>
        <r>
          <rPr>
            <b/>
            <sz val="9"/>
            <rFont val="宋体"/>
            <charset val="134"/>
          </rPr>
          <t>，剩余年按</t>
        </r>
        <r>
          <rPr>
            <b/>
            <sz val="9"/>
            <rFont val="Tahoma"/>
            <charset val="134"/>
          </rPr>
          <t>0.76%</t>
        </r>
      </text>
    </comment>
    <comment ref="H16" authorId="0">
      <text>
        <r>
          <rPr>
            <b/>
            <sz val="9"/>
            <rFont val="宋体"/>
            <charset val="134"/>
          </rPr>
          <t>全额上网时设为</t>
        </r>
        <r>
          <rPr>
            <b/>
            <sz val="9"/>
            <rFont val="Tahoma"/>
            <charset val="134"/>
          </rPr>
          <t>0</t>
        </r>
      </text>
    </comment>
    <comment ref="B18" authorId="0">
      <text>
        <r>
          <rPr>
            <b/>
            <sz val="9"/>
            <rFont val="宋体"/>
            <charset val="134"/>
          </rPr>
          <t>项目地等效日照小时数，通过Pvsyst软件查询测算</t>
        </r>
      </text>
    </comment>
    <comment ref="I18" authorId="0">
      <text>
        <r>
          <rPr>
            <b/>
            <sz val="9"/>
            <rFont val="宋体"/>
            <charset val="134"/>
          </rPr>
          <t>项目所在地火电上网电价，全额上网时设为</t>
        </r>
        <r>
          <rPr>
            <b/>
            <sz val="9"/>
            <rFont val="Tahoma"/>
            <charset val="134"/>
          </rPr>
          <t>0</t>
        </r>
        <r>
          <rPr>
            <sz val="9"/>
            <rFont val="Tahoma"/>
            <charset val="134"/>
          </rPr>
          <t xml:space="preserve">
</t>
        </r>
      </text>
    </comment>
    <comment ref="I19" authorId="0">
      <text>
        <r>
          <rPr>
            <b/>
            <sz val="9"/>
            <rFont val="宋体"/>
            <charset val="134"/>
          </rPr>
          <t>全额上网电价（</t>
        </r>
        <r>
          <rPr>
            <b/>
            <sz val="9"/>
            <rFont val="Tahoma"/>
            <charset val="134"/>
          </rPr>
          <t>2016</t>
        </r>
        <r>
          <rPr>
            <b/>
            <sz val="9"/>
            <rFont val="宋体"/>
            <charset val="134"/>
          </rPr>
          <t>年）：
一类地区：</t>
        </r>
        <r>
          <rPr>
            <b/>
            <sz val="9"/>
            <rFont val="Tahoma"/>
            <charset val="134"/>
          </rPr>
          <t xml:space="preserve">0.8
</t>
        </r>
        <r>
          <rPr>
            <b/>
            <sz val="9"/>
            <rFont val="宋体"/>
            <charset val="134"/>
          </rPr>
          <t>二类地区：</t>
        </r>
        <r>
          <rPr>
            <b/>
            <sz val="9"/>
            <rFont val="Tahoma"/>
            <charset val="134"/>
          </rPr>
          <t xml:space="preserve">0.88
</t>
        </r>
        <r>
          <rPr>
            <b/>
            <sz val="9"/>
            <rFont val="宋体"/>
            <charset val="134"/>
          </rPr>
          <t>三类地区：</t>
        </r>
        <r>
          <rPr>
            <b/>
            <sz val="9"/>
            <rFont val="Tahoma"/>
            <charset val="134"/>
          </rPr>
          <t>0.98</t>
        </r>
      </text>
    </comment>
    <comment ref="B21" authorId="0">
      <text>
        <r>
          <rPr>
            <sz val="9"/>
            <rFont val="宋体"/>
            <charset val="134"/>
          </rPr>
          <t>首年系统综合效率定为</t>
        </r>
        <r>
          <rPr>
            <sz val="9"/>
            <rFont val="Tahoma"/>
            <charset val="134"/>
          </rPr>
          <t>82%</t>
        </r>
      </text>
    </comment>
    <comment ref="H22" authorId="0">
      <text>
        <r>
          <rPr>
            <b/>
            <sz val="9"/>
            <rFont val="宋体"/>
            <charset val="134"/>
          </rPr>
          <t>在现金流量表中设定补贴年限</t>
        </r>
      </text>
    </comment>
    <comment ref="I22" authorId="0">
      <text>
        <r>
          <rPr>
            <b/>
            <sz val="9"/>
            <rFont val="宋体"/>
            <charset val="134"/>
          </rPr>
          <t>在现金流量表中设定补贴年限</t>
        </r>
      </text>
    </comment>
    <comment ref="B31" authorId="0">
      <text>
        <r>
          <rPr>
            <b/>
            <sz val="9"/>
            <rFont val="宋体"/>
            <charset val="134"/>
          </rPr>
          <t>升压站及生活区征地费</t>
        </r>
      </text>
    </comment>
    <comment ref="B32" authorId="0">
      <text>
        <r>
          <rPr>
            <b/>
            <sz val="9"/>
            <rFont val="宋体"/>
            <charset val="134"/>
          </rPr>
          <t>含半年土地（屋顶）租金、苗木补偿费、附属建筑补偿费等</t>
        </r>
      </text>
    </comment>
    <comment ref="B41" authorId="0">
      <text>
        <r>
          <rPr>
            <b/>
            <sz val="9"/>
            <rFont val="宋体"/>
            <charset val="134"/>
          </rPr>
          <t>根据公司融资、贷款情况确定</t>
        </r>
      </text>
    </comment>
    <comment ref="B42" authorId="0">
      <text>
        <r>
          <rPr>
            <b/>
            <sz val="9"/>
            <rFont val="宋体"/>
            <charset val="134"/>
          </rPr>
          <t>根据公司融资、贷款情况确定</t>
        </r>
      </text>
    </comment>
    <comment ref="C46" authorId="0">
      <text>
        <r>
          <rPr>
            <b/>
            <sz val="9"/>
            <rFont val="宋体"/>
            <charset val="134"/>
          </rPr>
          <t>年递增率</t>
        </r>
      </text>
    </comment>
    <comment ref="C48" authorId="0">
      <text>
        <r>
          <rPr>
            <b/>
            <sz val="9"/>
            <rFont val="宋体"/>
            <charset val="134"/>
          </rPr>
          <t>保险费率</t>
        </r>
      </text>
    </comment>
    <comment ref="C49" authorId="0">
      <text>
        <r>
          <rPr>
            <b/>
            <sz val="9"/>
            <rFont val="宋体"/>
            <charset val="134"/>
          </rPr>
          <t>年递增率</t>
        </r>
      </text>
    </comment>
    <comment ref="B52" authorId="0">
      <text>
        <r>
          <rPr>
            <b/>
            <sz val="9"/>
            <rFont val="宋体"/>
            <charset val="134"/>
          </rPr>
          <t>三免三减半</t>
        </r>
      </text>
    </comment>
  </commentList>
</comments>
</file>

<file path=xl/comments3.xml><?xml version="1.0" encoding="utf-8"?>
<comments xmlns="http://schemas.openxmlformats.org/spreadsheetml/2006/main">
  <authors>
    <author>JunHu Yu</author>
  </authors>
  <commentList>
    <comment ref="C5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运维成本根据规模自行更改，当规模不为整数时，采用2退3进5,7退8进5的原则进行填充后的规模计算。</t>
        </r>
      </text>
    </comment>
    <comment ref="C17" authorId="0">
      <text>
        <r>
          <rPr>
            <b/>
            <sz val="9"/>
            <rFont val="宋体"/>
            <charset val="134"/>
          </rPr>
          <t>JunHu Yu:填写几年一付,不能为0，如无金额带入运算，请将价额设置为0</t>
        </r>
      </text>
    </comment>
    <comment ref="E1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不能为0，如无金额带入运算，请将价额设置为0
</t>
        </r>
      </text>
    </comment>
    <comment ref="I17" authorId="0">
      <text>
        <r>
          <rPr>
            <b/>
            <sz val="9"/>
            <rFont val="宋体"/>
            <charset val="134"/>
          </rPr>
          <t>JunHu Yu:每年按比支出</t>
        </r>
      </text>
    </comment>
    <comment ref="A23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可以分开按项填写，也可以直接总额填写此格中。</t>
        </r>
      </text>
    </comment>
    <comment ref="G2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此设定为20年后的残值，如果以25年计算，残值自动为0计算</t>
        </r>
      </text>
    </comment>
    <comment ref="I28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每1000kwh的电，等于？吨碳排放
</t>
        </r>
      </text>
    </comment>
    <comment ref="G33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自用为0%时，默认全额上网计算</t>
        </r>
      </text>
    </comment>
    <comment ref="BB36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增值税带入计算</t>
        </r>
      </text>
    </comment>
    <comment ref="BF36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增值税带入计算</t>
        </r>
      </text>
    </comment>
    <comment ref="AF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增值税即征即退50%此处体现</t>
        </r>
      </text>
    </comment>
    <comment ref="AH37" authorId="0">
      <text>
        <r>
          <rPr>
            <b/>
            <sz val="9"/>
            <rFont val="宋体"/>
            <charset val="134"/>
          </rPr>
          <t xml:space="preserve">JunHu Yu:此列为地租支付款，AE全列为计算区域，不要填写任何内容
</t>
        </r>
      </text>
    </comment>
    <comment ref="AJ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去除保险费也属于非递增，此数已将保险费去除</t>
        </r>
      </text>
    </comment>
    <comment ref="AK37" authorId="0">
      <text>
        <r>
          <rPr>
            <b/>
            <sz val="9"/>
            <rFont val="宋体"/>
            <charset val="134"/>
          </rPr>
          <t>JunHu Yu:包含人工费用</t>
        </r>
      </text>
    </comment>
    <comment ref="AT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增值税带入计算</t>
        </r>
      </text>
    </comment>
    <comment ref="AU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增值税带入计算</t>
        </r>
      </text>
    </comment>
    <comment ref="BB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此为初始资本金</t>
        </r>
      </text>
    </comment>
    <comment ref="BD37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此为初始资本金</t>
        </r>
      </text>
    </comment>
    <comment ref="H38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0代表永远不到</t>
        </r>
      </text>
    </comment>
    <comment ref="D40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项目设备款含的17%增值税可以抵扣</t>
        </r>
      </text>
    </comment>
    <comment ref="H41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电站建成最快第5年方可享受，前提是有这个政策，此政策一般2-3年一下达，非长期性政策，无法与增值税抵扣同时享受。</t>
        </r>
      </text>
    </comment>
    <comment ref="I41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所得税前三年免征，后三年减半征收。</t>
        </r>
      </text>
    </comment>
    <comment ref="AH65" authorId="0">
      <text>
        <r>
          <rPr>
            <b/>
            <sz val="9"/>
            <rFont val="宋体"/>
            <charset val="134"/>
          </rPr>
          <t xml:space="preserve">JunHu Yu:此列为地租支付款，AE全列为计算区域，不要填写任何内容
</t>
        </r>
      </text>
    </comment>
    <comment ref="AJ65" authorId="0">
      <text>
        <r>
          <rPr>
            <b/>
            <sz val="9"/>
            <rFont val="宋体"/>
            <charset val="134"/>
          </rPr>
          <t>JunHu Yu:</t>
        </r>
        <r>
          <rPr>
            <sz val="9"/>
            <rFont val="宋体"/>
            <charset val="134"/>
          </rPr>
          <t xml:space="preserve">
去除保险费也属于非递增，此数已将保险费去除</t>
        </r>
      </text>
    </comment>
    <comment ref="AK65" authorId="0">
      <text>
        <r>
          <rPr>
            <b/>
            <sz val="9"/>
            <rFont val="宋体"/>
            <charset val="134"/>
          </rPr>
          <t>JunHu Yu:包含人工费用</t>
        </r>
      </text>
    </comment>
  </commentList>
</comments>
</file>

<file path=xl/sharedStrings.xml><?xml version="1.0" encoding="utf-8"?>
<sst xmlns="http://schemas.openxmlformats.org/spreadsheetml/2006/main" count="602" uniqueCount="355">
  <si>
    <r>
      <rPr>
        <b/>
        <sz val="18"/>
        <rFont val="Arial"/>
        <charset val="134"/>
      </rPr>
      <t>XXX</t>
    </r>
    <r>
      <rPr>
        <b/>
        <sz val="18"/>
        <rFont val="宋体"/>
        <charset val="134"/>
      </rPr>
      <t>光伏项目投资测算汇总表</t>
    </r>
  </si>
  <si>
    <t>投资回报</t>
  </si>
  <si>
    <t>投资年限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</si>
  <si>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年</t>
    </r>
  </si>
  <si>
    <t>项目内部收益率Project IRR</t>
  </si>
  <si>
    <t>股本内部收益率Equity IRR</t>
  </si>
  <si>
    <r>
      <rPr>
        <sz val="10"/>
        <rFont val="Arial"/>
        <charset val="134"/>
      </rPr>
      <t>NPV(</t>
    </r>
    <r>
      <rPr>
        <sz val="10"/>
        <rFont val="宋体"/>
        <charset val="134"/>
      </rPr>
      <t>折现率</t>
    </r>
    <r>
      <rPr>
        <sz val="10"/>
        <rFont val="Arial"/>
        <charset val="134"/>
      </rPr>
      <t>8%</t>
    </r>
    <r>
      <rPr>
        <sz val="10"/>
        <rFont val="宋体"/>
        <charset val="134"/>
      </rPr>
      <t>时）</t>
    </r>
  </si>
  <si>
    <t>项目回收期（年）</t>
  </si>
  <si>
    <t>股本回收期（年）</t>
  </si>
  <si>
    <t>电站规模</t>
  </si>
  <si>
    <r>
      <rPr>
        <sz val="10"/>
        <rFont val="宋体"/>
        <charset val="134"/>
      </rPr>
      <t>占地（屋顶）面积（平方米）</t>
    </r>
  </si>
  <si>
    <t>规模（MW)</t>
  </si>
  <si>
    <t>系统</t>
  </si>
  <si>
    <r>
      <rPr>
        <sz val="10"/>
        <rFont val="宋体"/>
        <charset val="134"/>
      </rPr>
      <t>等效满发装机小时数（</t>
    </r>
    <r>
      <rPr>
        <sz val="10"/>
        <rFont val="Arial"/>
        <charset val="134"/>
      </rPr>
      <t>NASA)(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年</t>
    </r>
    <r>
      <rPr>
        <sz val="10"/>
        <rFont val="Arial"/>
        <charset val="134"/>
      </rPr>
      <t>)</t>
    </r>
  </si>
  <si>
    <t>电站折旧年限</t>
  </si>
  <si>
    <t>残值率</t>
  </si>
  <si>
    <t>建置成本</t>
  </si>
  <si>
    <t>建置成本(元/瓦)</t>
  </si>
  <si>
    <t>实际投资</t>
  </si>
  <si>
    <t>资本金（自有资金）</t>
  </si>
  <si>
    <t>银行贷款</t>
  </si>
  <si>
    <t>年利率</t>
  </si>
  <si>
    <t>贷款期限</t>
  </si>
  <si>
    <t>运营维护成本</t>
  </si>
  <si>
    <t>首年运营成本（元）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</si>
  <si>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本测算表适用于光伏地面电站及分布式电站，可根据实际需求进行填写测算。</t>
    </r>
  </si>
  <si>
    <t>地面电站首年运维成本标准（IRR测算适用）</t>
  </si>
  <si>
    <t>装机量(MW)</t>
  </si>
  <si>
    <t>管理维护费</t>
  </si>
  <si>
    <t>用工数(含行政机构）</t>
  </si>
  <si>
    <t>年均用工成本</t>
  </si>
  <si>
    <t>人工成本总额</t>
  </si>
  <si>
    <t>首年运维成本（万元）</t>
  </si>
  <si>
    <t>其中：非递增费用（20%）</t>
  </si>
  <si>
    <t>其中：递增费用（80%）</t>
  </si>
  <si>
    <t>每W运维费用</t>
  </si>
  <si>
    <t>不含税年发电收入</t>
  </si>
  <si>
    <t>运维费用占收入比</t>
  </si>
  <si>
    <t>管理维护费占比</t>
  </si>
  <si>
    <t>人工成本占比</t>
  </si>
  <si>
    <t>调整每MW发电量</t>
  </si>
  <si>
    <t>调整上网电价（含税）</t>
  </si>
  <si>
    <t>注：1、维护费包括总部运维机构、区域管理机构、电站管理机构成本、电站设备维护成本、站场区维护成本。含保险费、清洗费、设备更换费、外线维护费、检测试验费等。土地租赁费、土地使用税需等按项目情况个别认定，不包括在内。
    2、人工成本包括总部运维机构、区域管理机构、电站管理机构、电站运维人员的平均工资、奖金、五险一金、各类福利费。
    3、表中除用工数、用工成本可以调整、修改外，其他单元格及其中公式不得改动。</t>
  </si>
  <si>
    <r>
      <rPr>
        <b/>
        <sz val="18"/>
        <rFont val="宋体"/>
        <charset val="134"/>
      </rPr>
      <t>坤尚能源</t>
    </r>
    <r>
      <rPr>
        <b/>
        <sz val="18"/>
        <rFont val="Arial"/>
        <charset val="134"/>
      </rPr>
      <t>-</t>
    </r>
    <r>
      <rPr>
        <b/>
        <sz val="18"/>
        <rFont val="宋体"/>
        <charset val="134"/>
      </rPr>
      <t>汝州</t>
    </r>
    <r>
      <rPr>
        <b/>
        <sz val="18"/>
        <rFont val="Arial"/>
        <charset val="134"/>
      </rPr>
      <t>100MW</t>
    </r>
    <r>
      <rPr>
        <b/>
        <sz val="18"/>
        <rFont val="宋体"/>
        <charset val="134"/>
      </rPr>
      <t>光伏项目投资测算表</t>
    </r>
  </si>
  <si>
    <t>项目地址：湖南湘西永顺县</t>
  </si>
  <si>
    <t>日期</t>
  </si>
  <si>
    <t>电站开发调整项</t>
  </si>
  <si>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年</t>
    </r>
  </si>
  <si>
    <t>商业模式</t>
  </si>
  <si>
    <t>公司设定值</t>
  </si>
  <si>
    <t>售电给企业部分（EMC）</t>
  </si>
  <si>
    <t>售电给电网部分（PPA）</t>
  </si>
  <si>
    <r>
      <rPr>
        <sz val="11"/>
        <color theme="1"/>
        <rFont val="Arial"/>
        <charset val="134"/>
      </rPr>
      <t>IRR</t>
    </r>
    <r>
      <rPr>
        <sz val="11"/>
        <color theme="1"/>
        <rFont val="宋体"/>
        <charset val="134"/>
      </rPr>
      <t>结果值</t>
    </r>
  </si>
  <si>
    <r>
      <rPr>
        <b/>
        <sz val="10"/>
        <rFont val="Arial"/>
        <charset val="134"/>
      </rPr>
      <t>NPV(</t>
    </r>
    <r>
      <rPr>
        <b/>
        <sz val="10"/>
        <rFont val="宋体"/>
        <charset val="134"/>
      </rPr>
      <t>折现率</t>
    </r>
    <r>
      <rPr>
        <b/>
        <sz val="10"/>
        <rFont val="Arial"/>
        <charset val="134"/>
      </rPr>
      <t>8%</t>
    </r>
    <r>
      <rPr>
        <b/>
        <sz val="10"/>
        <rFont val="宋体"/>
        <charset val="134"/>
      </rPr>
      <t>时）</t>
    </r>
  </si>
  <si>
    <t>等效满发装机小时数（NASA)(小时/天)</t>
  </si>
  <si>
    <t>发电天数</t>
  </si>
  <si>
    <t>等效满发装机小时数（NASA)(小时)</t>
  </si>
  <si>
    <t>占地面积（亩）</t>
  </si>
  <si>
    <t>系统损耗率</t>
  </si>
  <si>
    <t>每千瓦每年有效发电度数</t>
  </si>
  <si>
    <t>第1年电量产出(kWh)</t>
  </si>
  <si>
    <t>售电价格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</si>
  <si>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年年均发电量</t>
    </r>
    <r>
      <rPr>
        <sz val="10"/>
        <rFont val="Arial"/>
        <charset val="134"/>
      </rPr>
      <t>(kWh)</t>
    </r>
  </si>
  <si>
    <t>一、EMC部分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</si>
  <si>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年总发电量</t>
    </r>
    <r>
      <rPr>
        <sz val="10"/>
        <rFont val="Arial"/>
        <charset val="134"/>
      </rPr>
      <t>(kWh)</t>
    </r>
  </si>
  <si>
    <t>当地工业电价（峰）</t>
  </si>
  <si>
    <r>
      <rPr>
        <sz val="10"/>
        <rFont val="宋体"/>
        <charset val="134"/>
      </rPr>
      <t>组件</t>
    </r>
  </si>
  <si>
    <r>
      <rPr>
        <sz val="10"/>
        <rFont val="宋体"/>
        <charset val="134"/>
      </rPr>
      <t>多晶硅</t>
    </r>
  </si>
  <si>
    <t>折扣</t>
  </si>
  <si>
    <t>模组年损耗率-第1-10年/每年</t>
  </si>
  <si>
    <r>
      <rPr>
        <sz val="10"/>
        <rFont val="Arial"/>
        <charset val="134"/>
      </rPr>
      <t>EMC</t>
    </r>
    <r>
      <rPr>
        <sz val="10"/>
        <rFont val="宋体"/>
        <charset val="134"/>
      </rPr>
      <t>电价</t>
    </r>
  </si>
  <si>
    <t>模组年损耗率-第11-25年/每年</t>
  </si>
  <si>
    <t>用电比例</t>
  </si>
  <si>
    <t>二、PPA部分</t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</si>
  <si>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度倾角</t>
    </r>
  </si>
  <si>
    <t>火电标杆电价</t>
  </si>
  <si>
    <t>国家光伏电价补贴</t>
  </si>
  <si>
    <t>上网电价年递增率</t>
  </si>
  <si>
    <t>每千瓦首年有效发电度数</t>
  </si>
  <si>
    <t>省级补贴</t>
  </si>
  <si>
    <t>市级补贴</t>
  </si>
  <si>
    <t>县级补贴</t>
  </si>
  <si>
    <r>
      <rPr>
        <sz val="10"/>
        <rFont val="宋体"/>
        <charset val="134"/>
      </rPr>
      <t>折合到每</t>
    </r>
    <r>
      <rPr>
        <sz val="10"/>
        <rFont val="Arial"/>
        <charset val="134"/>
      </rPr>
      <t>W</t>
    </r>
    <r>
      <rPr>
        <sz val="10"/>
        <rFont val="宋体"/>
        <charset val="134"/>
      </rPr>
      <t>成本</t>
    </r>
  </si>
  <si>
    <r>
      <rPr>
        <sz val="10"/>
        <rFont val="Arial"/>
        <charset val="134"/>
      </rPr>
      <t>EPC</t>
    </r>
    <r>
      <rPr>
        <sz val="10"/>
        <rFont val="宋体"/>
        <charset val="134"/>
      </rPr>
      <t>成本（含外线）</t>
    </r>
  </si>
  <si>
    <t>项目利润</t>
  </si>
  <si>
    <t>路条开发费用（含总部开发机构成本）</t>
  </si>
  <si>
    <t>植被恢复费（林业补偿费）</t>
  </si>
  <si>
    <t>建设用地征地费用</t>
  </si>
  <si>
    <t>建设期土地（屋顶）租赁费</t>
  </si>
  <si>
    <t>融资成本</t>
  </si>
  <si>
    <t>设施农业或其他配套</t>
  </si>
  <si>
    <t>参考：</t>
  </si>
  <si>
    <t>小于10kv工业用电电价(元/度)</t>
  </si>
  <si>
    <t xml:space="preserve">总投资额 </t>
  </si>
  <si>
    <t>峰段</t>
  </si>
  <si>
    <t>政府一次性补贴</t>
  </si>
  <si>
    <t>平段</t>
  </si>
  <si>
    <t>谷段</t>
  </si>
  <si>
    <t>5%-10%</t>
  </si>
  <si>
    <r>
      <rPr>
        <sz val="10"/>
        <color theme="1"/>
        <rFont val="宋体"/>
        <charset val="134"/>
      </rPr>
      <t>不含税收入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度</t>
    </r>
    <r>
      <rPr>
        <sz val="10"/>
        <color theme="1"/>
        <rFont val="Arial"/>
        <charset val="134"/>
      </rPr>
      <t>)</t>
    </r>
  </si>
  <si>
    <r>
      <rPr>
        <sz val="10"/>
        <rFont val="Arial"/>
        <charset val="134"/>
      </rPr>
      <t>=20</t>
    </r>
    <r>
      <rPr>
        <sz val="10"/>
        <rFont val="宋体"/>
        <charset val="134"/>
      </rPr>
      <t>年</t>
    </r>
    <r>
      <rPr>
        <sz val="10"/>
        <rFont val="Arial"/>
        <charset val="134"/>
      </rPr>
      <t>(</t>
    </r>
    <r>
      <rPr>
        <sz val="10"/>
        <rFont val="宋体"/>
        <charset val="134"/>
      </rPr>
      <t>主营业务成本</t>
    </r>
    <r>
      <rPr>
        <sz val="10"/>
        <rFont val="Arial"/>
        <charset val="134"/>
      </rPr>
      <t>+</t>
    </r>
    <r>
      <rPr>
        <sz val="10"/>
        <rFont val="宋体"/>
        <charset val="134"/>
      </rPr>
      <t>营业税金及附加</t>
    </r>
    <r>
      <rPr>
        <sz val="10"/>
        <rFont val="Arial"/>
        <charset val="134"/>
      </rPr>
      <t>+</t>
    </r>
    <r>
      <rPr>
        <sz val="10"/>
        <rFont val="宋体"/>
        <charset val="134"/>
      </rPr>
      <t>管理费用</t>
    </r>
    <r>
      <rPr>
        <sz val="10"/>
        <rFont val="Arial"/>
        <charset val="134"/>
      </rPr>
      <t>+</t>
    </r>
    <r>
      <rPr>
        <sz val="10"/>
        <rFont val="宋体"/>
        <charset val="134"/>
      </rPr>
      <t>财务费用</t>
    </r>
    <r>
      <rPr>
        <sz val="10"/>
        <rFont val="Arial"/>
        <charset val="134"/>
      </rPr>
      <t>+</t>
    </r>
    <r>
      <rPr>
        <sz val="10"/>
        <rFont val="宋体"/>
        <charset val="134"/>
      </rPr>
      <t>所得税</t>
    </r>
    <r>
      <rPr>
        <sz val="10"/>
        <rFont val="Arial"/>
        <charset val="134"/>
      </rPr>
      <t>)/20</t>
    </r>
    <r>
      <rPr>
        <sz val="10"/>
        <rFont val="宋体"/>
        <charset val="134"/>
      </rPr>
      <t>年总发电量</t>
    </r>
  </si>
  <si>
    <t>第一年</t>
  </si>
  <si>
    <r>
      <rPr>
        <sz val="10"/>
        <rFont val="宋体"/>
        <charset val="134"/>
      </rPr>
      <t>发电总成本</t>
    </r>
    <r>
      <rPr>
        <sz val="10"/>
        <rFont val="Arial"/>
        <charset val="134"/>
      </rPr>
      <t>(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度</t>
    </r>
    <r>
      <rPr>
        <sz val="10"/>
        <rFont val="Arial"/>
        <charset val="134"/>
      </rPr>
      <t>)</t>
    </r>
  </si>
  <si>
    <t>屋顶（土地）租赁费</t>
  </si>
  <si>
    <t>收入净利润率</t>
  </si>
  <si>
    <t>城镇土地使用税、房产税</t>
  </si>
  <si>
    <t>NPV</t>
  </si>
  <si>
    <r>
      <rPr>
        <sz val="10"/>
        <rFont val="宋体"/>
        <charset val="134"/>
      </rPr>
      <t>运维费用（</t>
    </r>
    <r>
      <rPr>
        <sz val="10"/>
        <rFont val="Arial"/>
        <charset val="134"/>
      </rPr>
      <t>80%</t>
    </r>
    <r>
      <rPr>
        <sz val="10"/>
        <rFont val="宋体"/>
        <charset val="134"/>
      </rPr>
      <t>递增部分）</t>
    </r>
  </si>
  <si>
    <r>
      <rPr>
        <sz val="10"/>
        <rFont val="宋体"/>
        <charset val="134"/>
      </rPr>
      <t>运维费用（2</t>
    </r>
    <r>
      <rPr>
        <sz val="10"/>
        <rFont val="Arial"/>
        <charset val="134"/>
      </rPr>
      <t>0%非递增部分）</t>
    </r>
  </si>
  <si>
    <t>保险费用</t>
  </si>
  <si>
    <r>
      <rPr>
        <sz val="10"/>
        <rFont val="宋体"/>
        <charset val="134"/>
      </rPr>
      <t>人工费用（</t>
    </r>
    <r>
      <rPr>
        <sz val="10"/>
        <rFont val="Arial"/>
        <charset val="134"/>
      </rPr>
      <t>80%</t>
    </r>
    <r>
      <rPr>
        <sz val="10"/>
        <rFont val="宋体"/>
        <charset val="134"/>
      </rPr>
      <t>递增部分）</t>
    </r>
  </si>
  <si>
    <t>首年运维费用（元）</t>
  </si>
  <si>
    <t>20年所得税 (RMB)</t>
  </si>
  <si>
    <t>所得税率(%)</t>
  </si>
  <si>
    <t>增值税抵扣</t>
  </si>
  <si>
    <t>增值税附加税</t>
  </si>
  <si>
    <t>增值税率</t>
  </si>
  <si>
    <t>利润表</t>
  </si>
  <si>
    <t>总计</t>
  </si>
  <si>
    <t>一、与企业（EMC）</t>
  </si>
  <si>
    <t>电量产出</t>
  </si>
  <si>
    <t>发电比例</t>
  </si>
  <si>
    <t>售电电价</t>
  </si>
  <si>
    <t>国家补贴</t>
  </si>
  <si>
    <t>售电收入</t>
  </si>
  <si>
    <t>二、与电网（PPA）</t>
  </si>
  <si>
    <t>火电标杆电价部分收入</t>
  </si>
  <si>
    <r>
      <rPr>
        <sz val="9"/>
        <rFont val="宋体"/>
        <charset val="134"/>
      </rPr>
      <t>售电收入</t>
    </r>
    <r>
      <rPr>
        <sz val="9"/>
        <rFont val="Calibri"/>
        <charset val="134"/>
      </rPr>
      <t>(</t>
    </r>
    <r>
      <rPr>
        <sz val="9"/>
        <rFont val="宋体"/>
        <charset val="134"/>
      </rPr>
      <t>含税）</t>
    </r>
  </si>
  <si>
    <t>总电量产出额</t>
  </si>
  <si>
    <r>
      <rPr>
        <b/>
        <sz val="9"/>
        <rFont val="宋体"/>
        <charset val="134"/>
      </rPr>
      <t>总售电收入</t>
    </r>
    <r>
      <rPr>
        <b/>
        <sz val="9"/>
        <rFont val="Calibri"/>
        <charset val="134"/>
      </rPr>
      <t>(</t>
    </r>
    <r>
      <rPr>
        <b/>
        <sz val="9"/>
        <rFont val="宋体"/>
        <charset val="134"/>
      </rPr>
      <t>含税）</t>
    </r>
  </si>
  <si>
    <t>四、增值税（在收入中扣除）</t>
  </si>
  <si>
    <t>(1) 不含税营业收入</t>
  </si>
  <si>
    <t>屋顶（土地）租赁费用</t>
  </si>
  <si>
    <r>
      <rPr>
        <sz val="9"/>
        <rFont val="宋体"/>
        <charset val="134"/>
      </rPr>
      <t>运维费用（</t>
    </r>
    <r>
      <rPr>
        <sz val="9"/>
        <rFont val="Arial"/>
        <charset val="134"/>
      </rPr>
      <t>80%</t>
    </r>
    <r>
      <rPr>
        <sz val="9"/>
        <rFont val="宋体"/>
        <charset val="134"/>
      </rPr>
      <t>递增部分）</t>
    </r>
  </si>
  <si>
    <r>
      <rPr>
        <sz val="9"/>
        <rFont val="宋体"/>
        <charset val="134"/>
      </rPr>
      <t>运维费用（2</t>
    </r>
    <r>
      <rPr>
        <sz val="9"/>
        <rFont val="Arial"/>
        <charset val="134"/>
      </rPr>
      <t>0%</t>
    </r>
    <r>
      <rPr>
        <sz val="9"/>
        <rFont val="宋体"/>
        <charset val="134"/>
      </rPr>
      <t>非递增部分）</t>
    </r>
  </si>
  <si>
    <t>人工费用</t>
  </si>
  <si>
    <t>(2) 息税折旧前利润</t>
  </si>
  <si>
    <t>年折旧额</t>
  </si>
  <si>
    <t>(3) 息税前利润</t>
  </si>
  <si>
    <t>利息</t>
  </si>
  <si>
    <t>(4) 税前利润</t>
  </si>
  <si>
    <t>所得税</t>
  </si>
  <si>
    <t>(4) 净利润</t>
  </si>
  <si>
    <t>固定资产</t>
  </si>
  <si>
    <t>股本</t>
  </si>
  <si>
    <t>ROA</t>
  </si>
  <si>
    <t>ROE</t>
  </si>
  <si>
    <t>假设利润全部分配,无留存利润</t>
  </si>
  <si>
    <t>发电成本</t>
  </si>
  <si>
    <t>电站残值</t>
  </si>
  <si>
    <t>现金流量表</t>
  </si>
  <si>
    <t>现金流=息税前利润-增值税+折旧</t>
  </si>
  <si>
    <t>项目现金流</t>
  </si>
  <si>
    <t>息税前利润</t>
  </si>
  <si>
    <t>(-) 有效税收</t>
  </si>
  <si>
    <t>(+) 折旧</t>
  </si>
  <si>
    <t>(-) 初始资本支出</t>
  </si>
  <si>
    <t>累计项目现金流</t>
  </si>
  <si>
    <t>项目内部收益率</t>
  </si>
  <si>
    <t>项目回收期</t>
  </si>
  <si>
    <t>股本现金流</t>
  </si>
  <si>
    <t>(-) 利息</t>
  </si>
  <si>
    <t>(-) 所得税</t>
  </si>
  <si>
    <t>权益现金流</t>
  </si>
  <si>
    <t>股本内部收益率</t>
  </si>
  <si>
    <t>股本回收期</t>
  </si>
  <si>
    <t>银行还贷：</t>
  </si>
  <si>
    <t>期初余额</t>
  </si>
  <si>
    <t>偿还本金</t>
  </si>
  <si>
    <t>偿还利息</t>
  </si>
  <si>
    <t>期末余额</t>
  </si>
  <si>
    <t xml:space="preserve"> </t>
  </si>
  <si>
    <t>发电量</t>
  </si>
  <si>
    <t>节约标煤（吨）</t>
  </si>
  <si>
    <t>碳</t>
  </si>
  <si>
    <t>二氧化碳</t>
  </si>
  <si>
    <r>
      <rPr>
        <sz val="9"/>
        <color theme="1"/>
        <rFont val="Calibri"/>
        <charset val="134"/>
      </rPr>
      <t>IF(</t>
    </r>
    <r>
      <rPr>
        <sz val="9"/>
        <color theme="1"/>
        <rFont val="宋体"/>
        <charset val="134"/>
      </rPr>
      <t>年数</t>
    </r>
    <r>
      <rPr>
        <sz val="9"/>
        <color theme="1"/>
        <rFont val="Calibri"/>
        <charset val="134"/>
      </rPr>
      <t>&lt;=</t>
    </r>
    <r>
      <rPr>
        <sz val="9"/>
        <color theme="1"/>
        <rFont val="宋体"/>
        <charset val="134"/>
      </rPr>
      <t>总年数</t>
    </r>
    <r>
      <rPr>
        <sz val="9"/>
        <color theme="1"/>
        <rFont val="Calibri"/>
        <charset val="134"/>
      </rPr>
      <t>,-PPMT(</t>
    </r>
    <r>
      <rPr>
        <sz val="9"/>
        <color theme="1"/>
        <rFont val="宋体"/>
        <charset val="134"/>
      </rPr>
      <t>利率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还款第几年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还款总年数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剩余贷款</t>
    </r>
    <r>
      <rPr>
        <sz val="9"/>
        <color theme="1"/>
        <rFont val="Calibri"/>
        <charset val="134"/>
      </rPr>
      <t>),0)</t>
    </r>
  </si>
  <si>
    <r>
      <t>结论/备注</t>
    </r>
    <r>
      <rPr>
        <sz val="12"/>
        <color theme="1"/>
        <rFont val="华文仿宋"/>
        <charset val="134"/>
      </rPr>
      <t>：</t>
    </r>
  </si>
  <si>
    <t>ps：此文件中仅“运维成本”和“填报信息”两个表格参与计算</t>
  </si>
  <si>
    <t>电站信息</t>
  </si>
  <si>
    <t>1、淡黄色区域为可填写区域！</t>
  </si>
  <si>
    <t>电站类型</t>
  </si>
  <si>
    <t>年限</t>
  </si>
  <si>
    <t>地租支付方式</t>
  </si>
  <si>
    <t>项目名称</t>
  </si>
  <si>
    <t>延安市某景区4.5MW停车楼顶车棚光伏项目</t>
  </si>
  <si>
    <t>2、绿色项目栏为重点填写区域！</t>
  </si>
  <si>
    <t>大型地面式</t>
  </si>
  <si>
    <t>地面</t>
  </si>
  <si>
    <t>多此支付</t>
  </si>
  <si>
    <t>项目地址</t>
  </si>
  <si>
    <t>3、黄色区域为特别注意填写栏！</t>
  </si>
  <si>
    <t>地面分布式</t>
  </si>
  <si>
    <t>屋顶</t>
  </si>
  <si>
    <t>一次支付</t>
  </si>
  <si>
    <t>规模/MW</t>
  </si>
  <si>
    <t>屋顶分布式</t>
  </si>
  <si>
    <t>场址类型</t>
  </si>
  <si>
    <t>备注：</t>
  </si>
  <si>
    <t>4、浅绿色和紫红色为计算重点结论！</t>
  </si>
  <si>
    <t>水面</t>
  </si>
  <si>
    <t>项目位置</t>
  </si>
  <si>
    <t>北纬/X：</t>
  </si>
  <si>
    <t>36.585°</t>
  </si>
  <si>
    <t>东经/Y：</t>
  </si>
  <si>
    <t>109.49°</t>
  </si>
  <si>
    <t>海拔/H：</t>
  </si>
  <si>
    <t>970m</t>
  </si>
  <si>
    <t>户用分布式</t>
  </si>
  <si>
    <t>山地</t>
  </si>
  <si>
    <t>计算结果</t>
  </si>
  <si>
    <t>计算年限</t>
  </si>
  <si>
    <t>静态投资</t>
  </si>
  <si>
    <t>动态投资</t>
  </si>
  <si>
    <t>静态建设单价</t>
  </si>
  <si>
    <t>动态建设单价</t>
  </si>
  <si>
    <t>NPV(折现率8%时）</t>
  </si>
  <si>
    <t>年</t>
  </si>
  <si>
    <t>万元</t>
  </si>
  <si>
    <t>元/W</t>
  </si>
  <si>
    <t>元/kwh</t>
  </si>
  <si>
    <t>%</t>
  </si>
  <si>
    <t>首年发电</t>
  </si>
  <si>
    <t>首年有效发电时数</t>
  </si>
  <si>
    <t>项目收益率</t>
  </si>
  <si>
    <t>股本收益率</t>
  </si>
  <si>
    <t>万kwh</t>
  </si>
  <si>
    <t>h</t>
  </si>
  <si>
    <t>费用支出信息</t>
  </si>
  <si>
    <t>土地面积</t>
  </si>
  <si>
    <t>单价</t>
  </si>
  <si>
    <t>支付方式</t>
  </si>
  <si>
    <t>按年支出其他费用</t>
  </si>
  <si>
    <t>黄色表格填写将自动带入计算，运维费用自动后台计算</t>
  </si>
  <si>
    <t>扶贫说明</t>
  </si>
  <si>
    <t>扶贫资金总额</t>
  </si>
  <si>
    <t>扶贫支出</t>
  </si>
  <si>
    <t>亩</t>
  </si>
  <si>
    <t>元</t>
  </si>
  <si>
    <t>多次支付</t>
  </si>
  <si>
    <t>元/年</t>
  </si>
  <si>
    <t>下填几年一付</t>
  </si>
  <si>
    <t>每年自动支出</t>
  </si>
  <si>
    <t>占增值税后收入的比例</t>
  </si>
  <si>
    <t>发电</t>
  </si>
  <si>
    <t>年发电时数</t>
  </si>
  <si>
    <t>日发电时数</t>
  </si>
  <si>
    <t>系统效率</t>
  </si>
  <si>
    <t>首年衰减</t>
  </si>
  <si>
    <t>前十年衰减</t>
  </si>
  <si>
    <t>后十五年衰减</t>
  </si>
  <si>
    <t>建议设置第一年衰减2%，前10年衰减8%，25年衰减不超20%，前十年和后十五年相加为20%。</t>
  </si>
  <si>
    <t>建设成本</t>
  </si>
  <si>
    <t>EPC成本</t>
  </si>
  <si>
    <t>外线成本</t>
  </si>
  <si>
    <t>开发成本</t>
  </si>
  <si>
    <t>其他设施</t>
  </si>
  <si>
    <t>建设期融资成本</t>
  </si>
  <si>
    <t>利润</t>
  </si>
  <si>
    <t>不可预见</t>
  </si>
  <si>
    <t>其他</t>
  </si>
  <si>
    <t>资金比例</t>
  </si>
  <si>
    <t>自有资金</t>
  </si>
  <si>
    <t>贷款比例</t>
  </si>
  <si>
    <t>贷款利率</t>
  </si>
  <si>
    <t>备注</t>
  </si>
  <si>
    <t>贷款年限</t>
  </si>
  <si>
    <t>折旧年限</t>
  </si>
  <si>
    <t>碳交易价</t>
  </si>
  <si>
    <t>排放因子</t>
  </si>
  <si>
    <t>元/吨</t>
  </si>
  <si>
    <t>1吨C/1000kwh</t>
  </si>
  <si>
    <t>补贴</t>
  </si>
  <si>
    <t>EMC</t>
  </si>
  <si>
    <t>脱硫电价</t>
  </si>
  <si>
    <t>企业电价</t>
  </si>
  <si>
    <t>峰值电价</t>
  </si>
  <si>
    <t>平值电价</t>
  </si>
  <si>
    <t>谷值电价</t>
  </si>
  <si>
    <t>自用比例</t>
  </si>
  <si>
    <t>用电折扣</t>
  </si>
  <si>
    <t>元/kWh</t>
  </si>
  <si>
    <t>请注意自用比例的设置</t>
  </si>
  <si>
    <t>2舍3入5,7舍8入5</t>
  </si>
  <si>
    <t>项目</t>
  </si>
  <si>
    <t>内部收益率</t>
  </si>
  <si>
    <t>回收周期</t>
  </si>
  <si>
    <t>PPA</t>
  </si>
  <si>
    <t>标杆电价</t>
  </si>
  <si>
    <t>分布式光伏补贴</t>
  </si>
  <si>
    <t>其他补贴</t>
  </si>
  <si>
    <t>一次性补贴</t>
  </si>
  <si>
    <t>总投资</t>
  </si>
  <si>
    <t>25年</t>
  </si>
  <si>
    <t>一次性补贴设置第一年到账，那么会全部纳入第一年的账内计算，以此类推；不支持多次到账</t>
  </si>
  <si>
    <t>可抵扣</t>
  </si>
  <si>
    <t>不含增值税抵扣部分</t>
  </si>
  <si>
    <t>贷款额度</t>
  </si>
  <si>
    <t>20年</t>
  </si>
  <si>
    <t>项目内部收益</t>
  </si>
  <si>
    <t>项目现金流-有效税收（所得税）</t>
  </si>
  <si>
    <t>累计股本现金流</t>
  </si>
  <si>
    <t>补贴年限</t>
  </si>
  <si>
    <t>到账年限</t>
  </si>
  <si>
    <t>年数</t>
  </si>
  <si>
    <t>全额上网收益</t>
  </si>
  <si>
    <t>余电收益</t>
  </si>
  <si>
    <t>自用收益</t>
  </si>
  <si>
    <t>自用补贴</t>
  </si>
  <si>
    <t>碳交易</t>
  </si>
  <si>
    <t>增值税前营业收入</t>
  </si>
  <si>
    <t>增值税(不含50%退）</t>
  </si>
  <si>
    <t>增值税后营业收入</t>
  </si>
  <si>
    <t>实际缴纳增值税</t>
  </si>
  <si>
    <t>抵扣减免增值税</t>
  </si>
  <si>
    <t>保险费</t>
  </si>
  <si>
    <t>扶贫支付</t>
  </si>
  <si>
    <t>还贷折旧前收入</t>
  </si>
  <si>
    <t>贷款本金</t>
  </si>
  <si>
    <t>贷款利息</t>
  </si>
  <si>
    <t>折旧还贷后收入</t>
  </si>
  <si>
    <t>净利润</t>
  </si>
  <si>
    <t>净收益率</t>
  </si>
  <si>
    <t>税率</t>
  </si>
  <si>
    <t>增值税</t>
  </si>
  <si>
    <t>增值税附加税率</t>
  </si>
  <si>
    <t>增值税抵扣比例</t>
  </si>
  <si>
    <t>保险费率</t>
  </si>
  <si>
    <t>80%运维费用递增率</t>
  </si>
  <si>
    <t>税收政策，根据实际填写</t>
  </si>
  <si>
    <t>增值税即征即退50%</t>
  </si>
  <si>
    <t>是否减三免三</t>
  </si>
  <si>
    <t>不执行设置为0</t>
  </si>
  <si>
    <t>执行年限</t>
  </si>
  <si>
    <t>增值税(已扣除含50%退）</t>
  </si>
  <si>
    <t>/</t>
  </si>
  <si>
    <t>VNP</t>
  </si>
  <si>
    <t>x</t>
  </si>
  <si>
    <t>8&gt;x&gt;=3</t>
  </si>
  <si>
    <t>x&lt;3</t>
  </si>
  <si>
    <t>x&gt;=8</t>
  </si>
  <si>
    <t>尾数</t>
  </si>
  <si>
    <t>规模计算</t>
  </si>
  <si>
    <t>取装机规模末尾数0~1000内</t>
  </si>
  <si>
    <t>,</t>
  </si>
  <si>
    <t>总计
Total</t>
  </si>
  <si>
    <t>EMC部分</t>
  </si>
  <si>
    <t>售电收入（含各级补贴）</t>
  </si>
  <si>
    <t>提取增值税后收入</t>
  </si>
  <si>
    <t>PPA部分</t>
  </si>
  <si>
    <t>售电所含增值税</t>
  </si>
  <si>
    <t>累加</t>
  </si>
  <si>
    <t>设备税可抵扣增值税</t>
  </si>
  <si>
    <t>增值税可抵扣</t>
  </si>
  <si>
    <t>实付增值税</t>
  </si>
</sst>
</file>

<file path=xl/styles.xml><?xml version="1.0" encoding="utf-8"?>
<styleSheet xmlns="http://schemas.openxmlformats.org/spreadsheetml/2006/main" xmlns:xr9="http://schemas.microsoft.com/office/spreadsheetml/2016/revision9">
  <numFmts count="4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-mmm\-yy;@"/>
    <numFmt numFmtId="177" formatCode="_-* #,##0.00_-;\-* #,##0.00_-;_-* &quot;-&quot;??_-;_-@_-"/>
    <numFmt numFmtId="178" formatCode="_(* #,##0.00_);_(* \(#,##0.00\);_(* &quot;-&quot;??_);_(@_)"/>
    <numFmt numFmtId="179" formatCode="0.00_)"/>
    <numFmt numFmtId="180" formatCode="_-&quot;￡&quot;* #,##0.00_-;\-&quot;￡&quot;* #,##0.00_-;_-&quot;￡&quot;* &quot;-&quot;??_-;_-@_-"/>
    <numFmt numFmtId="181" formatCode="_-&quot;￡&quot;* #,##0_-;\-&quot;￡&quot;* #,##0_-;_-&quot;￡&quot;* &quot;-&quot;_-;_-@_-"/>
    <numFmt numFmtId="182" formatCode="_(* #,##0_);_(* \(#,##0\);_(* &quot;&quot;\ \-\ &quot;&quot;_);_(@_)"/>
    <numFmt numFmtId="183" formatCode="&quot;$&quot;#,##0.00_);\(&quot;$&quot;#,##0.00\)"/>
    <numFmt numFmtId="184" formatCode="#,##0_ "/>
    <numFmt numFmtId="185" formatCode="0.0%"/>
    <numFmt numFmtId="186" formatCode="0%;\(0%\)"/>
    <numFmt numFmtId="187" formatCode="&quot;$&quot;#,##0_);\(&quot;$&quot;#,##0\)"/>
    <numFmt numFmtId="188" formatCode="[=1]&quot;Nominal&quot;;[=0]&quot;Real&quot;;&quot;Error&quot;"/>
    <numFmt numFmtId="189" formatCode="#,##0.0_);\(#,##0.0\)"/>
    <numFmt numFmtId="190" formatCode="_-* #,##0_-;\-* #,##0_-;_-* &quot;-&quot;??_-;_-@_-"/>
    <numFmt numFmtId="191" formatCode="#,##0.0000"/>
    <numFmt numFmtId="192" formatCode="_ * #,##0_ ;_ * \-#,##0_ ;_ * &quot;-&quot;??_ ;_ @_ "/>
    <numFmt numFmtId="193" formatCode="0.00_);[Red]\(0.00\)"/>
    <numFmt numFmtId="194" formatCode="0.0_);[Red]\(0.0\)"/>
    <numFmt numFmtId="195" formatCode="0.00000000000000000_);[Red]\(0.00000000000000000\)"/>
    <numFmt numFmtId="196" formatCode="\¥#,##0.00;[Red]\¥\-#,##0.00"/>
    <numFmt numFmtId="197" formatCode="0_);[Red]\(0\)"/>
    <numFmt numFmtId="198" formatCode="#,##0_);[Red]\(#,##0\)"/>
    <numFmt numFmtId="199" formatCode="#,##0.00_ "/>
    <numFmt numFmtId="200" formatCode="0.000_);[Red]\(0.000\)"/>
    <numFmt numFmtId="201" formatCode="_-* #,##0.000000_-;\-* #,##0.000000_-;_-* &quot;-&quot;??_-;_-@_-"/>
    <numFmt numFmtId="202" formatCode="#,##0.000"/>
    <numFmt numFmtId="203" formatCode="0_ "/>
    <numFmt numFmtId="204" formatCode="0.00_ "/>
    <numFmt numFmtId="205" formatCode="0.0000_ "/>
    <numFmt numFmtId="206" formatCode="_-* #,##0_-;\-* #,##0_-;_-* &quot;-&quot;_-;_-@_-"/>
    <numFmt numFmtId="207" formatCode="0.000000000_ "/>
    <numFmt numFmtId="208" formatCode="0.000000000"/>
    <numFmt numFmtId="209" formatCode="#,##0_ ;\-#,##0\ "/>
    <numFmt numFmtId="210" formatCode="_-* #,##0.0_-;\-* #,##0.0_-;_-* &quot;-&quot;??_-;_-@_-"/>
    <numFmt numFmtId="211" formatCode="0.00000_ "/>
    <numFmt numFmtId="212" formatCode="0.00000"/>
  </numFmts>
  <fonts count="10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theme="1"/>
      <name val="Arial Unicode MS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2"/>
      <color theme="1"/>
      <name val="华文仿宋"/>
      <charset val="134"/>
    </font>
    <font>
      <b/>
      <sz val="18"/>
      <color theme="1"/>
      <name val="华文行楷"/>
      <charset val="134"/>
    </font>
    <font>
      <b/>
      <sz val="11"/>
      <color theme="1"/>
      <name val="Arial Unicode MS"/>
      <charset val="134"/>
    </font>
    <font>
      <sz val="11"/>
      <color rgb="FFFF0000"/>
      <name val="Arial Unicode MS"/>
      <charset val="134"/>
    </font>
    <font>
      <sz val="10"/>
      <color theme="1"/>
      <name val="Malgun Gothic Semilight"/>
      <charset val="134"/>
    </font>
    <font>
      <sz val="11"/>
      <color theme="6" tint="-0.249977111117893"/>
      <name val="Arial Unicode MS"/>
      <charset val="134"/>
    </font>
    <font>
      <sz val="10"/>
      <color theme="1"/>
      <name val="Arial Unicode MS"/>
      <charset val="134"/>
    </font>
    <font>
      <sz val="10"/>
      <color rgb="FFFF0000"/>
      <name val="Arial Unicode MS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Calibri"/>
      <charset val="134"/>
    </font>
    <font>
      <sz val="9"/>
      <color theme="1"/>
      <name val="Calibri"/>
      <charset val="134"/>
    </font>
    <font>
      <sz val="9"/>
      <name val="Calibri"/>
      <charset val="134"/>
    </font>
    <font>
      <sz val="9"/>
      <color indexed="8"/>
      <name val="Calibri"/>
      <charset val="134"/>
    </font>
    <font>
      <b/>
      <sz val="14"/>
      <name val="Calibri"/>
      <charset val="134"/>
    </font>
    <font>
      <b/>
      <sz val="9"/>
      <name val="Calibri"/>
      <charset val="134"/>
    </font>
    <font>
      <b/>
      <sz val="9"/>
      <color theme="0"/>
      <name val="Calibri"/>
      <charset val="134"/>
    </font>
    <font>
      <sz val="9"/>
      <name val="宋体"/>
      <charset val="134"/>
    </font>
    <font>
      <sz val="9"/>
      <color rgb="FFFF0000"/>
      <name val="Calibri"/>
      <charset val="134"/>
    </font>
    <font>
      <b/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Arial"/>
      <charset val="134"/>
    </font>
    <font>
      <sz val="9"/>
      <color indexed="9"/>
      <name val="Calibri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9"/>
      <color rgb="FF9C6500"/>
      <name val="宋体"/>
      <charset val="134"/>
      <scheme val="minor"/>
    </font>
    <font>
      <sz val="9"/>
      <color indexed="10"/>
      <name val="Calibri"/>
      <charset val="134"/>
    </font>
    <font>
      <b/>
      <sz val="9"/>
      <color theme="0"/>
      <name val="宋体"/>
      <charset val="134"/>
      <scheme val="minor"/>
    </font>
    <font>
      <b/>
      <sz val="9"/>
      <color indexed="10"/>
      <name val="Calibri"/>
      <charset val="134"/>
    </font>
    <font>
      <sz val="9"/>
      <color theme="1"/>
      <name val="宋体"/>
      <charset val="134"/>
      <scheme val="minor"/>
    </font>
    <font>
      <b/>
      <sz val="12"/>
      <color indexed="17"/>
      <name val="宋体"/>
      <charset val="134"/>
    </font>
    <font>
      <b/>
      <sz val="9"/>
      <color indexed="17"/>
      <name val="宋体"/>
      <charset val="134"/>
    </font>
    <font>
      <sz val="11"/>
      <color theme="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Arial"/>
      <charset val="134"/>
    </font>
    <font>
      <b/>
      <sz val="10"/>
      <name val="宋体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u/>
      <sz val="10"/>
      <name val="Arial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b/>
      <sz val="14"/>
      <color theme="1"/>
      <name val="微软雅黑"/>
      <charset val="134"/>
    </font>
    <font>
      <u/>
      <sz val="9.9"/>
      <color theme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5" tint="0.599993896298105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2"/>
      <color indexed="8"/>
      <name val="新細明體"/>
      <charset val="134"/>
    </font>
    <font>
      <sz val="11"/>
      <color theme="1"/>
      <name val="Calibri"/>
      <charset val="134"/>
    </font>
    <font>
      <sz val="10"/>
      <color indexed="8"/>
      <name val="Arial Unicode MS"/>
      <charset val="134"/>
    </font>
    <font>
      <sz val="12"/>
      <name val="新細明體"/>
      <charset val="134"/>
    </font>
    <font>
      <sz val="10"/>
      <color indexed="20"/>
      <name val="Calibri"/>
      <charset val="134"/>
    </font>
    <font>
      <sz val="12"/>
      <color theme="1"/>
      <name val="宋体"/>
      <charset val="134"/>
      <scheme val="minor"/>
    </font>
    <font>
      <b/>
      <i/>
      <sz val="16"/>
      <name val="Helv"/>
      <charset val="134"/>
    </font>
    <font>
      <sz val="11"/>
      <name val="Times New Roman"/>
      <charset val="134"/>
    </font>
    <font>
      <sz val="8"/>
      <name val="Arial"/>
      <charset val="134"/>
    </font>
    <font>
      <sz val="13"/>
      <name val="Tms Rmn"/>
      <charset val="134"/>
    </font>
    <font>
      <sz val="10"/>
      <color indexed="8"/>
      <name val="Verdana"/>
      <charset val="134"/>
    </font>
    <font>
      <sz val="11"/>
      <color indexed="8"/>
      <name val="Calibri"/>
      <charset val="134"/>
    </font>
    <font>
      <sz val="10"/>
      <name val="Verdana"/>
      <charset val="134"/>
    </font>
    <font>
      <b/>
      <sz val="13"/>
      <name val="Tms Rmn"/>
      <charset val="134"/>
    </font>
    <font>
      <sz val="12"/>
      <name val="Times New Roman"/>
      <charset val="134"/>
    </font>
    <font>
      <sz val="11"/>
      <color indexed="8"/>
      <name val="Arial"/>
      <charset val="134"/>
    </font>
    <font>
      <sz val="12"/>
      <color indexed="8"/>
      <name val="Calibri"/>
      <charset val="134"/>
    </font>
    <font>
      <sz val="10"/>
      <color indexed="17"/>
      <name val="Calibri"/>
      <charset val="134"/>
    </font>
    <font>
      <sz val="12"/>
      <color theme="1"/>
      <name val="Calibri"/>
      <charset val="134"/>
    </font>
    <font>
      <sz val="10"/>
      <name val="Times New Roman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45D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176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54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center"/>
    </xf>
    <xf numFmtId="176" fontId="0" fillId="14" borderId="45" applyNumberFormat="0" applyFont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50" applyNumberFormat="0" applyFill="0" applyAlignment="0" applyProtection="0">
      <alignment vertical="center"/>
    </xf>
    <xf numFmtId="0" fontId="63" fillId="0" borderId="50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23" borderId="52" applyNumberFormat="0" applyAlignment="0" applyProtection="0">
      <alignment vertical="center"/>
    </xf>
    <xf numFmtId="0" fontId="66" fillId="24" borderId="53" applyNumberFormat="0" applyAlignment="0" applyProtection="0">
      <alignment vertical="center"/>
    </xf>
    <xf numFmtId="0" fontId="67" fillId="24" borderId="52" applyNumberFormat="0" applyAlignment="0" applyProtection="0">
      <alignment vertical="center"/>
    </xf>
    <xf numFmtId="0" fontId="68" fillId="25" borderId="54" applyNumberFormat="0" applyAlignment="0" applyProtection="0">
      <alignment vertical="center"/>
    </xf>
    <xf numFmtId="0" fontId="69" fillId="0" borderId="55" applyNumberFormat="0" applyFill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176" fontId="71" fillId="19" borderId="0" applyNumberFormat="0" applyBorder="0" applyAlignment="0" applyProtection="0"/>
    <xf numFmtId="0" fontId="72" fillId="26" borderId="0" applyNumberFormat="0" applyBorder="0" applyAlignment="0" applyProtection="0">
      <alignment vertical="center"/>
    </xf>
    <xf numFmtId="176" fontId="73" fillId="17" borderId="0" applyNumberFormat="0" applyBorder="0" applyAlignment="0" applyProtection="0"/>
    <xf numFmtId="176" fontId="74" fillId="15" borderId="0" applyNumberFormat="0" applyBorder="0" applyAlignment="0" applyProtection="0"/>
    <xf numFmtId="0" fontId="75" fillId="5" borderId="0" applyNumberFormat="0" applyBorder="0" applyAlignment="0" applyProtection="0">
      <alignment vertical="center"/>
    </xf>
    <xf numFmtId="176" fontId="0" fillId="16" borderId="0" applyNumberFormat="0" applyBorder="0" applyAlignment="0" applyProtection="0"/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176" fontId="77" fillId="0" borderId="0"/>
    <xf numFmtId="176" fontId="78" fillId="0" borderId="0">
      <alignment vertical="center"/>
    </xf>
    <xf numFmtId="176" fontId="7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7" fontId="57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178" fontId="81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44" fillId="0" borderId="0"/>
    <xf numFmtId="176" fontId="0" fillId="0" borderId="0">
      <alignment vertical="center"/>
    </xf>
    <xf numFmtId="176" fontId="82" fillId="45" borderId="0" applyNumberFormat="0" applyBorder="0" applyAlignment="0" applyProtection="0"/>
    <xf numFmtId="176" fontId="83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10" fontId="44" fillId="0" borderId="0" applyFont="0" applyFill="0" applyBorder="0" applyAlignment="0" applyProtection="0"/>
    <xf numFmtId="176" fontId="0" fillId="0" borderId="0"/>
    <xf numFmtId="179" fontId="84" fillId="0" borderId="0"/>
    <xf numFmtId="176" fontId="0" fillId="0" borderId="0"/>
    <xf numFmtId="176" fontId="77" fillId="0" borderId="0">
      <protection locked="0"/>
    </xf>
    <xf numFmtId="9" fontId="57" fillId="0" borderId="0" applyFont="0" applyFill="0" applyBorder="0" applyAlignment="0" applyProtection="0">
      <alignment vertical="center"/>
    </xf>
    <xf numFmtId="176" fontId="44" fillId="0" borderId="0"/>
    <xf numFmtId="176" fontId="0" fillId="0" borderId="0"/>
    <xf numFmtId="176" fontId="44" fillId="0" borderId="0"/>
    <xf numFmtId="176" fontId="85" fillId="0" borderId="0"/>
    <xf numFmtId="178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8" fontId="0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86" fillId="46" borderId="0">
      <alignment horizontal="right"/>
    </xf>
    <xf numFmtId="176" fontId="0" fillId="0" borderId="0"/>
    <xf numFmtId="183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176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78" fontId="89" fillId="0" borderId="0" applyFont="0" applyFill="0" applyBorder="0" applyAlignment="0" applyProtection="0"/>
    <xf numFmtId="184" fontId="83" fillId="0" borderId="0" applyFont="0" applyFill="0" applyBorder="0" applyAlignment="0" applyProtection="0">
      <alignment vertical="center"/>
    </xf>
    <xf numFmtId="176" fontId="90" fillId="0" borderId="0" applyFont="0" applyFill="0" applyBorder="0" applyAlignment="0" applyProtection="0"/>
    <xf numFmtId="176" fontId="91" fillId="0" borderId="2" applyNumberFormat="0" applyFill="0" applyProtection="0">
      <alignment horizontal="center"/>
    </xf>
    <xf numFmtId="176" fontId="42" fillId="0" borderId="0"/>
    <xf numFmtId="176" fontId="88" fillId="0" borderId="0"/>
    <xf numFmtId="9" fontId="0" fillId="0" borderId="0" applyFont="0" applyFill="0" applyBorder="0" applyAlignment="0" applyProtection="0"/>
    <xf numFmtId="38" fontId="86" fillId="47" borderId="0" applyNumberFormat="0" applyBorder="0" applyAlignment="0" applyProtection="0"/>
    <xf numFmtId="184" fontId="78" fillId="0" borderId="0" applyFont="0" applyFill="0" applyBorder="0" applyAlignment="0" applyProtection="0">
      <alignment vertical="center"/>
    </xf>
    <xf numFmtId="185" fontId="87" fillId="0" borderId="0" applyFont="0" applyFill="0" applyBorder="0" applyAlignment="0" applyProtection="0"/>
    <xf numFmtId="10" fontId="86" fillId="48" borderId="7" applyNumberFormat="0" applyBorder="0" applyAlignment="0" applyProtection="0"/>
    <xf numFmtId="186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38" fontId="0" fillId="0" borderId="0" applyFont="0" applyFill="0" applyBorder="0" applyAlignment="0" applyProtection="0">
      <alignment vertical="center"/>
    </xf>
    <xf numFmtId="176" fontId="92" fillId="0" borderId="0"/>
    <xf numFmtId="176" fontId="0" fillId="0" borderId="0">
      <alignment vertical="center"/>
    </xf>
    <xf numFmtId="43" fontId="93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87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176" fontId="95" fillId="49" borderId="0" applyNumberFormat="0" applyBorder="0" applyAlignment="0" applyProtection="0"/>
    <xf numFmtId="176" fontId="44" fillId="0" borderId="0"/>
    <xf numFmtId="176" fontId="0" fillId="0" borderId="0">
      <alignment vertical="center"/>
    </xf>
    <xf numFmtId="178" fontId="89" fillId="0" borderId="0" applyFont="0" applyFill="0" applyBorder="0" applyAlignment="0" applyProtection="0"/>
    <xf numFmtId="176" fontId="83" fillId="0" borderId="0">
      <alignment vertical="center"/>
    </xf>
    <xf numFmtId="9" fontId="78" fillId="0" borderId="0" applyFont="0" applyFill="0" applyBorder="0" applyAlignment="0" applyProtection="0">
      <alignment vertical="center"/>
    </xf>
    <xf numFmtId="176" fontId="96" fillId="0" borderId="0">
      <alignment vertical="center"/>
    </xf>
    <xf numFmtId="9" fontId="83" fillId="0" borderId="0" applyFont="0" applyFill="0" applyBorder="0" applyAlignment="0" applyProtection="0">
      <alignment vertical="center"/>
    </xf>
    <xf numFmtId="37" fontId="87" fillId="0" borderId="0" applyFont="0" applyFill="0" applyBorder="0" applyAlignment="0" applyProtection="0"/>
    <xf numFmtId="176" fontId="0" fillId="0" borderId="0"/>
    <xf numFmtId="176" fontId="80" fillId="0" borderId="0">
      <alignment vertical="center"/>
    </xf>
    <xf numFmtId="187" fontId="87" fillId="0" borderId="0" applyFont="0" applyFill="0" applyBorder="0" applyAlignment="0" applyProtection="0"/>
    <xf numFmtId="188" fontId="97" fillId="0" borderId="0" applyFont="0" applyFill="0" applyBorder="0" applyAlignment="0" applyProtection="0"/>
    <xf numFmtId="176" fontId="83" fillId="0" borderId="0">
      <alignment vertical="center"/>
    </xf>
    <xf numFmtId="189" fontId="87" fillId="0" borderId="0" applyFont="0" applyFill="0" applyBorder="0" applyAlignment="0" applyProtection="0"/>
  </cellStyleXfs>
  <cellXfs count="544">
    <xf numFmtId="176" fontId="0" fillId="0" borderId="0" xfId="0">
      <alignment vertical="center"/>
    </xf>
    <xf numFmtId="176" fontId="1" fillId="0" borderId="0" xfId="0" applyFont="1">
      <alignment vertical="center"/>
    </xf>
    <xf numFmtId="176" fontId="2" fillId="0" borderId="0" xfId="0" applyFont="1">
      <alignment vertical="center"/>
    </xf>
    <xf numFmtId="3" fontId="3" fillId="2" borderId="1" xfId="0" applyNumberFormat="1" applyFont="1" applyFill="1" applyBorder="1" applyAlignment="1" applyProtection="1">
      <protection locked="0" hidden="1"/>
    </xf>
    <xf numFmtId="9" fontId="3" fillId="2" borderId="1" xfId="0" applyNumberFormat="1" applyFont="1" applyFill="1" applyBorder="1" applyAlignment="1" applyProtection="1">
      <alignment horizontal="center"/>
      <protection locked="0" hidden="1"/>
    </xf>
    <xf numFmtId="9" fontId="3" fillId="2" borderId="0" xfId="0" applyNumberFormat="1" applyFont="1" applyFill="1" applyBorder="1" applyAlignment="1" applyProtection="1">
      <protection locked="0" hidden="1"/>
    </xf>
    <xf numFmtId="3" fontId="3" fillId="2" borderId="1" xfId="0" applyNumberFormat="1" applyFont="1" applyFill="1" applyBorder="1" applyAlignment="1" applyProtection="1">
      <alignment horizontal="center"/>
      <protection locked="0" hidden="1"/>
    </xf>
    <xf numFmtId="176" fontId="3" fillId="2" borderId="2" xfId="0" applyFont="1" applyFill="1" applyBorder="1" applyAlignment="1" applyProtection="1">
      <protection locked="0" hidden="1"/>
    </xf>
    <xf numFmtId="176" fontId="3" fillId="2" borderId="2" xfId="0" applyFont="1" applyFill="1" applyBorder="1" applyAlignment="1" applyProtection="1">
      <alignment horizontal="center"/>
      <protection locked="0" hidden="1"/>
    </xf>
    <xf numFmtId="176" fontId="3" fillId="2" borderId="0" xfId="0" applyFont="1" applyFill="1" applyBorder="1" applyAlignment="1" applyProtection="1">
      <protection locked="0" hidden="1"/>
    </xf>
    <xf numFmtId="176" fontId="3" fillId="2" borderId="2" xfId="0" applyFont="1" applyFill="1" applyBorder="1" applyAlignment="1" applyProtection="1">
      <alignment horizontal="center" wrapText="1"/>
      <protection locked="0" hidden="1"/>
    </xf>
    <xf numFmtId="190" fontId="2" fillId="0" borderId="0" xfId="1" applyNumberFormat="1" applyFont="1">
      <alignment vertical="center"/>
    </xf>
    <xf numFmtId="185" fontId="2" fillId="0" borderId="0" xfId="0" applyNumberFormat="1" applyFont="1">
      <alignment vertical="center"/>
    </xf>
    <xf numFmtId="190" fontId="1" fillId="0" borderId="0" xfId="1" applyNumberFormat="1" applyFont="1">
      <alignment vertical="center"/>
    </xf>
    <xf numFmtId="43" fontId="2" fillId="0" borderId="0" xfId="0" applyNumberFormat="1" applyFont="1">
      <alignment vertical="center"/>
    </xf>
    <xf numFmtId="191" fontId="2" fillId="0" borderId="0" xfId="0" applyNumberFormat="1" applyFont="1">
      <alignment vertical="center"/>
    </xf>
    <xf numFmtId="190" fontId="2" fillId="0" borderId="0" xfId="0" applyNumberFormat="1" applyFont="1">
      <alignment vertical="center"/>
    </xf>
    <xf numFmtId="9" fontId="2" fillId="0" borderId="0" xfId="0" applyNumberFormat="1" applyFont="1" applyAlignment="1">
      <alignment horizontal="center" vertical="center"/>
    </xf>
    <xf numFmtId="192" fontId="2" fillId="3" borderId="0" xfId="0" applyNumberFormat="1" applyFont="1" applyFill="1">
      <alignment vertical="center"/>
    </xf>
    <xf numFmtId="190" fontId="1" fillId="0" borderId="0" xfId="0" applyNumberFormat="1" applyFont="1">
      <alignment vertical="center"/>
    </xf>
    <xf numFmtId="176" fontId="4" fillId="0" borderId="0" xfId="0" applyFont="1" applyProtection="1">
      <alignment vertical="center"/>
      <protection locked="0" hidden="1"/>
    </xf>
    <xf numFmtId="190" fontId="2" fillId="0" borderId="0" xfId="1" applyNumberFormat="1" applyFont="1" applyProtection="1">
      <alignment vertical="center"/>
      <protection locked="0" hidden="1"/>
    </xf>
    <xf numFmtId="190" fontId="2" fillId="4" borderId="0" xfId="1" applyNumberFormat="1" applyFont="1" applyFill="1" applyProtection="1">
      <alignment vertical="center"/>
      <protection locked="0" hidden="1"/>
    </xf>
    <xf numFmtId="190" fontId="2" fillId="0" borderId="0" xfId="0" applyNumberFormat="1" applyFont="1" applyProtection="1">
      <alignment vertical="center"/>
      <protection locked="0" hidden="1"/>
    </xf>
    <xf numFmtId="193" fontId="2" fillId="0" borderId="0" xfId="0" applyNumberFormat="1" applyFont="1" applyProtection="1">
      <alignment vertical="center"/>
      <protection locked="0" hidden="1"/>
    </xf>
    <xf numFmtId="176" fontId="2" fillId="0" borderId="0" xfId="0" applyFont="1" applyProtection="1">
      <alignment vertical="center"/>
      <protection locked="0" hidden="1"/>
    </xf>
    <xf numFmtId="190" fontId="1" fillId="0" borderId="0" xfId="1" applyNumberFormat="1" applyFont="1" applyProtection="1">
      <alignment vertical="center"/>
      <protection locked="0" hidden="1"/>
    </xf>
    <xf numFmtId="176" fontId="3" fillId="2" borderId="0" xfId="0" applyFont="1" applyFill="1" applyAlignment="1" applyProtection="1">
      <alignment horizontal="center"/>
      <protection locked="0" hidden="1"/>
    </xf>
    <xf numFmtId="190" fontId="5" fillId="0" borderId="0" xfId="0" applyNumberFormat="1" applyFont="1" applyProtection="1">
      <alignment vertical="center"/>
      <protection locked="0" hidden="1"/>
    </xf>
    <xf numFmtId="176" fontId="6" fillId="0" borderId="0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9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NumberFormat="1" applyFont="1" applyBorder="1" applyAlignment="1">
      <alignment horizontal="center" vertical="center" wrapText="1"/>
    </xf>
    <xf numFmtId="0" fontId="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 applyProtection="1">
      <alignment horizontal="center" vertical="center" wrapText="1"/>
      <protection locked="0"/>
    </xf>
    <xf numFmtId="193" fontId="6" fillId="6" borderId="6" xfId="0" applyNumberFormat="1" applyFont="1" applyFill="1" applyBorder="1" applyAlignment="1" applyProtection="1">
      <alignment horizontal="center" vertical="center" wrapText="1"/>
      <protection locked="0"/>
    </xf>
    <xf numFmtId="193" fontId="6" fillId="7" borderId="7" xfId="0" applyNumberFormat="1" applyFont="1" applyFill="1" applyBorder="1" applyAlignment="1">
      <alignment horizontal="center" vertical="center" wrapText="1"/>
    </xf>
    <xf numFmtId="193" fontId="6" fillId="7" borderId="10" xfId="0" applyNumberFormat="1" applyFont="1" applyFill="1" applyBorder="1" applyAlignment="1">
      <alignment horizontal="center" vertical="center" wrapText="1"/>
    </xf>
    <xf numFmtId="193" fontId="6" fillId="7" borderId="11" xfId="0" applyNumberFormat="1" applyFont="1" applyFill="1" applyBorder="1" applyAlignment="1">
      <alignment horizontal="center" vertical="center" wrapText="1"/>
    </xf>
    <xf numFmtId="10" fontId="11" fillId="4" borderId="11" xfId="3" applyNumberFormat="1" applyFont="1" applyFill="1" applyBorder="1" applyAlignment="1">
      <alignment horizontal="center" vertical="center" wrapText="1"/>
    </xf>
    <xf numFmtId="193" fontId="11" fillId="4" borderId="11" xfId="0" applyNumberFormat="1" applyFont="1" applyFill="1" applyBorder="1" applyAlignment="1">
      <alignment horizontal="center" vertical="center" wrapText="1"/>
    </xf>
    <xf numFmtId="0" fontId="10" fillId="5" borderId="12" xfId="0" applyNumberFormat="1" applyFont="1" applyFill="1" applyBorder="1" applyAlignment="1">
      <alignment horizontal="center" vertical="center" wrapText="1"/>
    </xf>
    <xf numFmtId="0" fontId="10" fillId="5" borderId="13" xfId="0" applyNumberFormat="1" applyFont="1" applyFill="1" applyBorder="1" applyAlignment="1">
      <alignment horizontal="center" vertical="center" wrapText="1"/>
    </xf>
    <xf numFmtId="0" fontId="6" fillId="8" borderId="6" xfId="0" applyNumberFormat="1" applyFont="1" applyFill="1" applyBorder="1" applyAlignment="1">
      <alignment horizontal="center" vertical="center" wrapText="1"/>
    </xf>
    <xf numFmtId="0" fontId="6" fillId="8" borderId="7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0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6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0" applyNumberFormat="1" applyFont="1" applyBorder="1" applyAlignment="1" applyProtection="1">
      <alignment horizontal="center" vertical="center" wrapText="1"/>
      <protection locked="0"/>
    </xf>
    <xf numFmtId="10" fontId="6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NumberFormat="1" applyFont="1" applyBorder="1" applyAlignment="1">
      <alignment horizontal="center" vertical="center" wrapText="1"/>
    </xf>
    <xf numFmtId="0" fontId="6" fillId="8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10" fontId="6" fillId="6" borderId="6" xfId="0" applyNumberFormat="1" applyFont="1" applyFill="1" applyBorder="1" applyAlignment="1" applyProtection="1">
      <alignment horizontal="center" vertical="center" wrapText="1"/>
      <protection locked="0"/>
    </xf>
    <xf numFmtId="10" fontId="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0" fillId="5" borderId="24" xfId="0" applyNumberFormat="1" applyFont="1" applyFill="1" applyBorder="1" applyAlignment="1">
      <alignment horizontal="center" vertical="center" wrapText="1"/>
    </xf>
    <xf numFmtId="0" fontId="6" fillId="6" borderId="0" xfId="0" applyNumberFormat="1" applyFont="1" applyFill="1" applyAlignment="1">
      <alignment horizontal="left" vertical="center" wrapText="1"/>
    </xf>
    <xf numFmtId="0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8" borderId="0" xfId="0" applyNumberFormat="1" applyFont="1" applyFill="1" applyAlignment="1">
      <alignment horizontal="left" vertical="center" wrapText="1"/>
    </xf>
    <xf numFmtId="0" fontId="6" fillId="9" borderId="0" xfId="0" applyNumberFormat="1" applyFont="1" applyFill="1" applyAlignment="1">
      <alignment horizontal="left" vertical="center" wrapText="1"/>
    </xf>
    <xf numFmtId="0" fontId="14" fillId="10" borderId="0" xfId="0" applyNumberFormat="1" applyFont="1" applyFill="1" applyAlignment="1">
      <alignment horizontal="left" vertical="center" wrapText="1"/>
    </xf>
    <xf numFmtId="0" fontId="6" fillId="0" borderId="26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NumberFormat="1" applyFont="1" applyBorder="1" applyAlignment="1">
      <alignment horizontal="center" vertical="center" wrapText="1"/>
    </xf>
    <xf numFmtId="10" fontId="6" fillId="7" borderId="25" xfId="0" applyNumberFormat="1" applyFont="1" applyFill="1" applyBorder="1" applyAlignment="1">
      <alignment horizontal="center" vertical="center" wrapText="1"/>
    </xf>
    <xf numFmtId="193" fontId="11" fillId="4" borderId="27" xfId="0" applyNumberFormat="1" applyFont="1" applyFill="1" applyBorder="1" applyAlignment="1">
      <alignment horizontal="center" vertical="center" wrapText="1"/>
    </xf>
    <xf numFmtId="0" fontId="10" fillId="5" borderId="28" xfId="0" applyNumberFormat="1" applyFont="1" applyFill="1" applyBorder="1" applyAlignment="1">
      <alignment horizontal="center" vertical="center" wrapText="1"/>
    </xf>
    <xf numFmtId="0" fontId="6" fillId="8" borderId="29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10" fontId="6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33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16" fillId="0" borderId="26" xfId="0" applyNumberFormat="1" applyFont="1" applyBorder="1" applyAlignment="1">
      <alignment horizontal="center" vertical="center" wrapText="1"/>
    </xf>
    <xf numFmtId="0" fontId="16" fillId="0" borderId="34" xfId="0" applyNumberFormat="1" applyFont="1" applyBorder="1" applyAlignment="1">
      <alignment horizontal="center" vertical="center" wrapText="1"/>
    </xf>
    <xf numFmtId="0" fontId="7" fillId="11" borderId="0" xfId="0" applyNumberFormat="1" applyFont="1" applyFill="1" applyAlignment="1">
      <alignment horizontal="center" vertical="center" wrapText="1"/>
    </xf>
    <xf numFmtId="0" fontId="16" fillId="0" borderId="35" xfId="0" applyNumberFormat="1" applyFont="1" applyBorder="1" applyAlignment="1">
      <alignment horizontal="center" vertical="center" wrapText="1"/>
    </xf>
    <xf numFmtId="193" fontId="7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2" fontId="17" fillId="11" borderId="13" xfId="58" applyNumberFormat="1" applyFont="1" applyFill="1" applyBorder="1" applyAlignment="1" applyProtection="1">
      <alignment horizontal="center" vertical="center" wrapText="1"/>
      <protection hidden="1"/>
    </xf>
    <xf numFmtId="0" fontId="15" fillId="11" borderId="13" xfId="0" applyNumberFormat="1" applyFont="1" applyFill="1" applyBorder="1" applyAlignment="1">
      <alignment horizontal="center" vertical="center" wrapText="1"/>
    </xf>
    <xf numFmtId="2" fontId="17" fillId="11" borderId="0" xfId="58" applyNumberFormat="1" applyFont="1" applyFill="1" applyBorder="1" applyAlignment="1" applyProtection="1">
      <alignment horizontal="center" vertical="center" wrapText="1"/>
      <protection hidden="1"/>
    </xf>
    <xf numFmtId="0" fontId="7" fillId="0" borderId="37" xfId="0" applyNumberFormat="1" applyFont="1" applyBorder="1" applyAlignment="1">
      <alignment horizontal="center" vertical="center" wrapText="1"/>
    </xf>
    <xf numFmtId="0" fontId="18" fillId="11" borderId="0" xfId="0" applyNumberFormat="1" applyFont="1" applyFill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0" fontId="7" fillId="0" borderId="42" xfId="0" applyNumberFormat="1" applyFont="1" applyBorder="1" applyAlignment="1">
      <alignment horizontal="center" vertical="center" wrapText="1"/>
    </xf>
    <xf numFmtId="10" fontId="7" fillId="0" borderId="38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2" fontId="17" fillId="12" borderId="11" xfId="58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0" applyNumberFormat="1" applyFont="1" applyBorder="1" applyAlignment="1">
      <alignment horizontal="center" vertical="center" wrapText="1"/>
    </xf>
    <xf numFmtId="194" fontId="7" fillId="0" borderId="38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" fontId="19" fillId="12" borderId="43" xfId="58" applyNumberFormat="1" applyFont="1" applyFill="1" applyBorder="1" applyAlignment="1" applyProtection="1">
      <alignment horizontal="center" vertical="center" wrapText="1"/>
      <protection hidden="1"/>
    </xf>
    <xf numFmtId="195" fontId="7" fillId="0" borderId="32" xfId="0" applyNumberFormat="1" applyFont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196" fontId="7" fillId="0" borderId="31" xfId="0" applyNumberFormat="1" applyFont="1" applyBorder="1" applyAlignment="1">
      <alignment horizontal="center" vertical="center" wrapText="1"/>
    </xf>
    <xf numFmtId="0" fontId="7" fillId="0" borderId="38" xfId="0" applyNumberFormat="1" applyFont="1" applyFill="1" applyBorder="1" applyAlignment="1">
      <alignment horizontal="center" vertical="center" wrapText="1"/>
    </xf>
    <xf numFmtId="196" fontId="7" fillId="0" borderId="32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176" fontId="20" fillId="0" borderId="0" xfId="0" applyFont="1">
      <alignment vertical="center"/>
    </xf>
    <xf numFmtId="176" fontId="21" fillId="13" borderId="0" xfId="0" applyFont="1" applyFill="1">
      <alignment vertical="center"/>
    </xf>
    <xf numFmtId="176" fontId="20" fillId="0" borderId="0" xfId="27" applyFont="1" applyFill="1" applyBorder="1" applyAlignment="1">
      <alignment vertical="center"/>
    </xf>
    <xf numFmtId="176" fontId="21" fillId="0" borderId="0" xfId="0" applyFont="1" applyBorder="1">
      <alignment vertical="center"/>
    </xf>
    <xf numFmtId="176" fontId="22" fillId="0" borderId="0" xfId="0" applyFont="1" applyFill="1">
      <alignment vertical="center"/>
    </xf>
    <xf numFmtId="176" fontId="22" fillId="0" borderId="0" xfId="0" applyFont="1">
      <alignment vertical="center"/>
    </xf>
    <xf numFmtId="176" fontId="23" fillId="0" borderId="0" xfId="0" applyFont="1">
      <alignment vertical="center"/>
    </xf>
    <xf numFmtId="176" fontId="21" fillId="0" borderId="44" xfId="0" applyFont="1" applyBorder="1">
      <alignment vertical="center"/>
    </xf>
    <xf numFmtId="176" fontId="21" fillId="0" borderId="0" xfId="0" applyFont="1" applyFill="1" applyBorder="1">
      <alignment vertical="center"/>
    </xf>
    <xf numFmtId="176" fontId="21" fillId="0" borderId="0" xfId="27" applyFont="1" applyFill="1" applyBorder="1" applyAlignment="1">
      <alignment vertical="center"/>
    </xf>
    <xf numFmtId="197" fontId="23" fillId="0" borderId="0" xfId="0" applyNumberFormat="1" applyFont="1">
      <alignment vertical="center"/>
    </xf>
    <xf numFmtId="176" fontId="21" fillId="0" borderId="0" xfId="0" applyFont="1">
      <alignment vertical="center"/>
    </xf>
    <xf numFmtId="176" fontId="21" fillId="0" borderId="0" xfId="0" applyFont="1" applyAlignment="1">
      <alignment horizontal="center" vertical="center"/>
    </xf>
    <xf numFmtId="176" fontId="21" fillId="0" borderId="0" xfId="0" applyFont="1" applyFill="1">
      <alignment vertical="center"/>
    </xf>
    <xf numFmtId="176" fontId="21" fillId="0" borderId="0" xfId="0" applyFont="1" applyFill="1" applyBorder="1" applyAlignment="1">
      <alignment horizontal="right" vertical="center"/>
    </xf>
    <xf numFmtId="198" fontId="24" fillId="14" borderId="45" xfId="8" applyNumberFormat="1" applyFont="1" applyProtection="1">
      <protection locked="0" hidden="1"/>
    </xf>
    <xf numFmtId="9" fontId="25" fillId="0" borderId="1" xfId="0" applyNumberFormat="1" applyFont="1" applyFill="1" applyBorder="1" applyAlignment="1" applyProtection="1">
      <alignment horizontal="center"/>
      <protection locked="0" hidden="1"/>
    </xf>
    <xf numFmtId="9" fontId="25" fillId="0" borderId="0" xfId="0" applyNumberFormat="1" applyFont="1" applyFill="1" applyBorder="1" applyAlignment="1" applyProtection="1">
      <protection locked="0" hidden="1"/>
    </xf>
    <xf numFmtId="199" fontId="21" fillId="0" borderId="0" xfId="0" applyNumberFormat="1" applyFont="1" applyFill="1" applyBorder="1" applyAlignment="1">
      <alignment horizontal="right" vertical="center"/>
    </xf>
    <xf numFmtId="10" fontId="21" fillId="0" borderId="0" xfId="0" applyNumberFormat="1" applyFont="1" applyFill="1" applyBorder="1" applyAlignment="1">
      <alignment horizontal="right" vertical="center"/>
    </xf>
    <xf numFmtId="176" fontId="25" fillId="2" borderId="46" xfId="0" applyFont="1" applyFill="1" applyBorder="1" applyAlignment="1" applyProtection="1">
      <protection locked="0" hidden="1"/>
    </xf>
    <xf numFmtId="176" fontId="25" fillId="0" borderId="0" xfId="0" applyFont="1" applyFill="1" applyBorder="1" applyAlignment="1" applyProtection="1">
      <alignment horizontal="center"/>
      <protection locked="0" hidden="1"/>
    </xf>
    <xf numFmtId="176" fontId="25" fillId="0" borderId="0" xfId="0" applyFont="1" applyFill="1" applyBorder="1" applyAlignment="1" applyProtection="1">
      <protection locked="0" hidden="1"/>
    </xf>
    <xf numFmtId="3" fontId="26" fillId="15" borderId="0" xfId="25" applyNumberFormat="1" applyFont="1" applyBorder="1" applyAlignment="1" applyProtection="1">
      <alignment horizontal="right"/>
      <protection locked="0" hidden="1"/>
    </xf>
    <xf numFmtId="176" fontId="26" fillId="0" borderId="0" xfId="25" applyFont="1" applyFill="1" applyBorder="1" applyAlignment="1" applyProtection="1">
      <protection locked="0" hidden="1"/>
    </xf>
    <xf numFmtId="9" fontId="22" fillId="2" borderId="0" xfId="69" applyFont="1" applyFill="1" applyBorder="1" applyAlignment="1">
      <alignment wrapText="1"/>
    </xf>
    <xf numFmtId="9" fontId="22" fillId="0" borderId="0" xfId="69" applyFont="1" applyFill="1" applyBorder="1" applyAlignment="1"/>
    <xf numFmtId="9" fontId="22" fillId="0" borderId="0" xfId="69" applyFont="1" applyFill="1" applyBorder="1" applyAlignment="1">
      <alignment horizontal="right"/>
    </xf>
    <xf numFmtId="10" fontId="22" fillId="0" borderId="0" xfId="69" applyNumberFormat="1" applyFont="1" applyFill="1" applyBorder="1" applyAlignment="1">
      <alignment horizontal="right"/>
    </xf>
    <xf numFmtId="9" fontId="25" fillId="2" borderId="0" xfId="69" applyFont="1" applyFill="1" applyBorder="1" applyAlignment="1">
      <alignment wrapText="1"/>
    </xf>
    <xf numFmtId="9" fontId="25" fillId="0" borderId="0" xfId="69" applyFont="1" applyFill="1" applyBorder="1" applyAlignment="1"/>
    <xf numFmtId="190" fontId="25" fillId="0" borderId="0" xfId="69" applyNumberFormat="1" applyFont="1" applyFill="1" applyBorder="1" applyAlignment="1">
      <alignment horizontal="right"/>
    </xf>
    <xf numFmtId="9" fontId="25" fillId="0" borderId="0" xfId="69" applyFont="1" applyFill="1" applyBorder="1" applyAlignment="1">
      <alignment horizontal="right"/>
    </xf>
    <xf numFmtId="190" fontId="22" fillId="0" borderId="0" xfId="1" applyNumberFormat="1" applyFont="1" applyFill="1" applyBorder="1" applyAlignment="1" applyProtection="1">
      <alignment horizontal="right"/>
      <protection locked="0" hidden="1"/>
    </xf>
    <xf numFmtId="190" fontId="22" fillId="0" borderId="0" xfId="1" applyNumberFormat="1" applyFont="1" applyFill="1" applyBorder="1" applyAlignment="1">
      <alignment horizontal="right"/>
    </xf>
    <xf numFmtId="9" fontId="27" fillId="2" borderId="0" xfId="69" applyFont="1" applyFill="1" applyBorder="1" applyAlignment="1">
      <alignment wrapText="1"/>
    </xf>
    <xf numFmtId="185" fontId="21" fillId="0" borderId="0" xfId="0" applyNumberFormat="1" applyFont="1" applyFill="1" applyAlignment="1">
      <alignment horizontal="center" vertical="center"/>
    </xf>
    <xf numFmtId="9" fontId="22" fillId="0" borderId="0" xfId="1" applyNumberFormat="1" applyFont="1" applyFill="1" applyBorder="1" applyAlignment="1" applyProtection="1">
      <alignment horizontal="right"/>
      <protection locked="0" hidden="1"/>
    </xf>
    <xf numFmtId="4" fontId="21" fillId="0" borderId="0" xfId="0" applyNumberFormat="1" applyFont="1" applyAlignment="1">
      <alignment horizontal="center" vertical="center"/>
    </xf>
    <xf numFmtId="200" fontId="22" fillId="0" borderId="0" xfId="0" applyNumberFormat="1" applyFont="1" applyFill="1" applyBorder="1" applyAlignment="1" applyProtection="1">
      <alignment horizontal="right"/>
      <protection locked="0" hidden="1"/>
    </xf>
    <xf numFmtId="9" fontId="27" fillId="0" borderId="0" xfId="69" applyFont="1" applyFill="1" applyBorder="1" applyAlignment="1">
      <alignment wrapText="1"/>
    </xf>
    <xf numFmtId="4" fontId="21" fillId="0" borderId="0" xfId="0" applyNumberFormat="1" applyFont="1" applyFill="1" applyAlignment="1">
      <alignment horizontal="center" vertical="center"/>
    </xf>
    <xf numFmtId="200" fontId="28" fillId="13" borderId="0" xfId="0" applyNumberFormat="1" applyFont="1" applyFill="1" applyBorder="1" applyAlignment="1" applyProtection="1">
      <alignment horizontal="right"/>
      <protection locked="0" hidden="1"/>
    </xf>
    <xf numFmtId="177" fontId="25" fillId="0" borderId="0" xfId="1" applyFont="1" applyFill="1" applyBorder="1" applyAlignment="1">
      <alignment horizontal="right"/>
    </xf>
    <xf numFmtId="185" fontId="22" fillId="0" borderId="0" xfId="3" applyNumberFormat="1" applyFont="1" applyFill="1" applyAlignment="1" applyProtection="1">
      <alignment horizontal="center"/>
      <protection locked="0" hidden="1"/>
    </xf>
    <xf numFmtId="185" fontId="22" fillId="0" borderId="0" xfId="3" applyNumberFormat="1" applyFont="1" applyFill="1" applyBorder="1" applyAlignment="1" applyProtection="1">
      <alignment horizontal="center"/>
      <protection locked="0" hidden="1"/>
    </xf>
    <xf numFmtId="3" fontId="22" fillId="0" borderId="0" xfId="0" applyNumberFormat="1" applyFont="1" applyFill="1" applyBorder="1" applyAlignment="1" applyProtection="1">
      <alignment horizontal="right"/>
      <protection locked="0" hidden="1"/>
    </xf>
    <xf numFmtId="9" fontId="2" fillId="0" borderId="0" xfId="69" applyFont="1" applyFill="1" applyBorder="1" applyAlignment="1">
      <alignment wrapText="1"/>
    </xf>
    <xf numFmtId="200" fontId="21" fillId="0" borderId="0" xfId="3" applyNumberFormat="1" applyFont="1" applyFill="1" applyAlignment="1" applyProtection="1">
      <alignment horizontal="center"/>
      <protection locked="0" hidden="1"/>
    </xf>
    <xf numFmtId="193" fontId="21" fillId="0" borderId="0" xfId="3" applyNumberFormat="1" applyFont="1" applyFill="1" applyBorder="1" applyAlignment="1" applyProtection="1">
      <protection locked="0" hidden="1"/>
    </xf>
    <xf numFmtId="200" fontId="21" fillId="0" borderId="0" xfId="0" applyNumberFormat="1" applyFont="1" applyFill="1" applyBorder="1" applyAlignment="1" applyProtection="1">
      <alignment horizontal="right"/>
      <protection locked="0" hidden="1"/>
    </xf>
    <xf numFmtId="193" fontId="22" fillId="0" borderId="0" xfId="3" applyNumberFormat="1" applyFont="1" applyFill="1" applyBorder="1" applyAlignment="1" applyProtection="1">
      <protection locked="0" hidden="1"/>
    </xf>
    <xf numFmtId="185" fontId="25" fillId="0" borderId="0" xfId="3" applyNumberFormat="1" applyFont="1" applyFill="1" applyAlignment="1" applyProtection="1">
      <alignment horizontal="center"/>
      <protection locked="0" hidden="1"/>
    </xf>
    <xf numFmtId="193" fontId="25" fillId="0" borderId="0" xfId="3" applyNumberFormat="1" applyFont="1" applyFill="1" applyBorder="1" applyAlignment="1" applyProtection="1">
      <protection locked="0" hidden="1"/>
    </xf>
    <xf numFmtId="3" fontId="25" fillId="0" borderId="0" xfId="0" applyNumberFormat="1" applyFont="1" applyFill="1" applyBorder="1" applyAlignment="1" applyProtection="1">
      <alignment horizontal="right"/>
      <protection locked="0" hidden="1"/>
    </xf>
    <xf numFmtId="200" fontId="25" fillId="0" borderId="0" xfId="0" applyNumberFormat="1" applyFont="1" applyFill="1" applyBorder="1" applyAlignment="1" applyProtection="1">
      <alignment horizontal="right"/>
      <protection locked="0" hidden="1"/>
    </xf>
    <xf numFmtId="190" fontId="25" fillId="0" borderId="0" xfId="1" applyNumberFormat="1" applyFont="1" applyFill="1" applyBorder="1" applyAlignment="1" applyProtection="1">
      <alignment horizontal="right"/>
      <protection locked="0" hidden="1"/>
    </xf>
    <xf numFmtId="193" fontId="25" fillId="2" borderId="0" xfId="0" applyNumberFormat="1" applyFont="1" applyFill="1" applyBorder="1" applyAlignment="1" applyProtection="1">
      <alignment wrapText="1"/>
      <protection locked="0" hidden="1"/>
    </xf>
    <xf numFmtId="200" fontId="25" fillId="0" borderId="0" xfId="3" applyNumberFormat="1" applyFont="1" applyFill="1" applyAlignment="1" applyProtection="1">
      <alignment horizontal="center"/>
      <protection locked="0" hidden="1"/>
    </xf>
    <xf numFmtId="176" fontId="25" fillId="0" borderId="0" xfId="0" applyFont="1" applyFill="1" applyBorder="1" applyAlignment="1" applyProtection="1">
      <alignment wrapText="1"/>
      <protection locked="0" hidden="1"/>
    </xf>
    <xf numFmtId="193" fontId="22" fillId="0" borderId="0" xfId="3" applyNumberFormat="1" applyFont="1" applyFill="1" applyAlignment="1" applyProtection="1">
      <alignment horizontal="center"/>
      <protection locked="0" hidden="1"/>
    </xf>
    <xf numFmtId="176" fontId="29" fillId="0" borderId="0" xfId="0" applyFont="1" applyFill="1" applyBorder="1" applyAlignment="1" applyProtection="1">
      <alignment wrapText="1"/>
      <protection locked="0" hidden="1"/>
    </xf>
    <xf numFmtId="176" fontId="30" fillId="16" borderId="0" xfId="27" applyFont="1" applyBorder="1" applyAlignment="1" applyProtection="1">
      <alignment wrapText="1"/>
      <protection locked="0" hidden="1"/>
    </xf>
    <xf numFmtId="176" fontId="30" fillId="16" borderId="0" xfId="27" applyFont="1" applyBorder="1" applyAlignment="1" applyProtection="1">
      <alignment horizontal="center"/>
      <protection locked="0" hidden="1"/>
    </xf>
    <xf numFmtId="176" fontId="30" fillId="0" borderId="0" xfId="27" applyFont="1" applyFill="1" applyBorder="1" applyAlignment="1" applyProtection="1">
      <protection locked="0" hidden="1"/>
    </xf>
    <xf numFmtId="3" fontId="30" fillId="16" borderId="0" xfId="27" applyNumberFormat="1" applyFont="1" applyBorder="1" applyAlignment="1" applyProtection="1">
      <alignment horizontal="right"/>
      <protection locked="0" hidden="1"/>
    </xf>
    <xf numFmtId="4" fontId="27" fillId="0" borderId="0" xfId="0" applyNumberFormat="1" applyFont="1" applyFill="1" applyBorder="1" applyAlignment="1">
      <alignment horizontal="left" wrapText="1"/>
    </xf>
    <xf numFmtId="176" fontId="31" fillId="0" borderId="20" xfId="72" applyFont="1" applyFill="1" applyBorder="1" applyAlignment="1">
      <alignment horizontal="left" vertical="center"/>
    </xf>
    <xf numFmtId="185" fontId="22" fillId="0" borderId="0" xfId="3" applyNumberFormat="1" applyFont="1" applyFill="1" applyBorder="1" applyAlignment="1" applyProtection="1">
      <protection locked="0" hidden="1"/>
    </xf>
    <xf numFmtId="176" fontId="22" fillId="0" borderId="0" xfId="72" applyFont="1" applyFill="1" applyBorder="1" applyAlignment="1">
      <alignment horizontal="left"/>
    </xf>
    <xf numFmtId="176" fontId="27" fillId="0" borderId="0" xfId="0" applyFont="1" applyFill="1" applyBorder="1" applyAlignment="1" applyProtection="1">
      <protection locked="0" hidden="1"/>
    </xf>
    <xf numFmtId="9" fontId="22" fillId="0" borderId="0" xfId="3" applyFont="1" applyFill="1" applyBorder="1" applyAlignment="1" applyProtection="1">
      <alignment horizontal="center"/>
      <protection locked="0" hidden="1"/>
    </xf>
    <xf numFmtId="176" fontId="21" fillId="0" borderId="0" xfId="0" applyFont="1" applyFill="1" applyBorder="1" applyAlignment="1">
      <alignment horizontal="center" vertical="center"/>
    </xf>
    <xf numFmtId="176" fontId="22" fillId="0" borderId="0" xfId="0" applyFont="1" applyFill="1" applyBorder="1" applyAlignment="1" applyProtection="1">
      <alignment wrapText="1"/>
      <protection locked="0" hidden="1"/>
    </xf>
    <xf numFmtId="177" fontId="22" fillId="0" borderId="0" xfId="1" applyFont="1" applyFill="1" applyBorder="1" applyAlignment="1" applyProtection="1">
      <alignment horizontal="center"/>
      <protection locked="0" hidden="1"/>
    </xf>
    <xf numFmtId="3" fontId="22" fillId="0" borderId="0" xfId="0" applyNumberFormat="1" applyFont="1" applyFill="1" applyBorder="1" applyAlignment="1" applyProtection="1">
      <protection locked="0" hidden="1"/>
    </xf>
    <xf numFmtId="3" fontId="22" fillId="4" borderId="0" xfId="0" applyNumberFormat="1" applyFont="1" applyFill="1" applyBorder="1" applyAlignment="1" applyProtection="1">
      <alignment horizontal="right"/>
      <protection locked="0" hidden="1"/>
    </xf>
    <xf numFmtId="201" fontId="21" fillId="0" borderId="0" xfId="1" applyNumberFormat="1" applyFont="1" applyBorder="1" applyAlignment="1">
      <alignment horizontal="center" vertical="center"/>
    </xf>
    <xf numFmtId="177" fontId="30" fillId="16" borderId="0" xfId="1" applyFont="1" applyFill="1" applyBorder="1" applyAlignment="1" applyProtection="1">
      <alignment horizontal="center"/>
      <protection locked="0" hidden="1"/>
    </xf>
    <xf numFmtId="177" fontId="21" fillId="0" borderId="0" xfId="1" applyFont="1" applyBorder="1" applyAlignment="1">
      <alignment horizontal="center" vertical="center"/>
    </xf>
    <xf numFmtId="176" fontId="22" fillId="0" borderId="0" xfId="0" applyFont="1" applyFill="1" applyBorder="1" applyAlignment="1" applyProtection="1">
      <protection locked="0" hidden="1"/>
    </xf>
    <xf numFmtId="176" fontId="21" fillId="0" borderId="0" xfId="0" applyFont="1" applyBorder="1" applyAlignment="1">
      <alignment horizontal="center" vertical="center"/>
    </xf>
    <xf numFmtId="176" fontId="32" fillId="0" borderId="0" xfId="0" applyFont="1" applyFill="1" applyBorder="1" applyAlignment="1" applyProtection="1">
      <protection locked="0" hidden="1"/>
    </xf>
    <xf numFmtId="9" fontId="32" fillId="0" borderId="0" xfId="3" applyFont="1" applyFill="1" applyBorder="1" applyAlignment="1" applyProtection="1">
      <alignment horizontal="center"/>
      <protection locked="0" hidden="1"/>
    </xf>
    <xf numFmtId="9" fontId="32" fillId="0" borderId="0" xfId="3" applyFont="1" applyFill="1" applyBorder="1" applyAlignment="1" applyProtection="1">
      <protection locked="0" hidden="1"/>
    </xf>
    <xf numFmtId="3" fontId="32" fillId="0" borderId="0" xfId="0" applyNumberFormat="1" applyFont="1" applyFill="1" applyBorder="1" applyAlignment="1" applyProtection="1">
      <alignment horizontal="right"/>
      <protection locked="0" hidden="1"/>
    </xf>
    <xf numFmtId="9" fontId="22" fillId="0" borderId="0" xfId="0" applyNumberFormat="1" applyFont="1" applyFill="1" applyBorder="1" applyAlignment="1" applyProtection="1">
      <alignment horizontal="center"/>
      <protection locked="0" hidden="1"/>
    </xf>
    <xf numFmtId="3" fontId="22" fillId="13" borderId="0" xfId="0" applyNumberFormat="1" applyFont="1" applyFill="1" applyBorder="1" applyAlignment="1" applyProtection="1">
      <alignment horizontal="right"/>
      <protection locked="0" hidden="1"/>
    </xf>
    <xf numFmtId="9" fontId="21" fillId="0" borderId="0" xfId="0" applyNumberFormat="1" applyFont="1" applyBorder="1" applyAlignment="1">
      <alignment horizontal="center" vertical="center"/>
    </xf>
    <xf numFmtId="176" fontId="30" fillId="0" borderId="0" xfId="27" applyFont="1" applyFill="1" applyBorder="1" applyAlignment="1" applyProtection="1">
      <alignment wrapText="1"/>
      <protection locked="0" hidden="1"/>
    </xf>
    <xf numFmtId="176" fontId="30" fillId="0" borderId="0" xfId="27" applyFont="1" applyFill="1" applyBorder="1" applyAlignment="1" applyProtection="1">
      <alignment horizontal="center"/>
      <protection locked="0" hidden="1"/>
    </xf>
    <xf numFmtId="3" fontId="30" fillId="0" borderId="0" xfId="27" applyNumberFormat="1" applyFont="1" applyFill="1" applyBorder="1" applyAlignment="1" applyProtection="1">
      <alignment horizontal="right"/>
      <protection locked="0" hidden="1"/>
    </xf>
    <xf numFmtId="176" fontId="3" fillId="0" borderId="0" xfId="0" applyFont="1" applyFill="1" applyBorder="1" applyAlignment="1" applyProtection="1">
      <protection locked="0" hidden="1"/>
    </xf>
    <xf numFmtId="185" fontId="25" fillId="0" borderId="0" xfId="3" applyNumberFormat="1" applyFont="1" applyFill="1" applyBorder="1" applyAlignment="1" applyProtection="1">
      <alignment horizontal="right"/>
      <protection locked="0" hidden="1"/>
    </xf>
    <xf numFmtId="9" fontId="25" fillId="0" borderId="0" xfId="3" applyFont="1" applyFill="1" applyBorder="1" applyAlignment="1" applyProtection="1">
      <alignment horizontal="right"/>
      <protection locked="0" hidden="1"/>
    </xf>
    <xf numFmtId="176" fontId="33" fillId="0" borderId="0" xfId="0" applyFont="1" applyFill="1" applyBorder="1" applyAlignment="1" applyProtection="1">
      <alignment horizontal="center"/>
      <protection locked="0" hidden="1"/>
    </xf>
    <xf numFmtId="10" fontId="25" fillId="0" borderId="0" xfId="3" applyNumberFormat="1" applyFont="1" applyFill="1" applyBorder="1" applyAlignment="1" applyProtection="1">
      <alignment horizontal="right"/>
      <protection locked="0" hidden="1"/>
    </xf>
    <xf numFmtId="176" fontId="34" fillId="17" borderId="0" xfId="24" applyFont="1" applyBorder="1" applyAlignment="1" applyProtection="1">
      <protection locked="0" hidden="1"/>
    </xf>
    <xf numFmtId="176" fontId="34" fillId="17" borderId="0" xfId="24" applyFont="1" applyBorder="1" applyAlignment="1" applyProtection="1">
      <alignment horizontal="center"/>
      <protection locked="0" hidden="1"/>
    </xf>
    <xf numFmtId="176" fontId="34" fillId="0" borderId="0" xfId="24" applyFont="1" applyFill="1" applyBorder="1" applyAlignment="1" applyProtection="1">
      <protection locked="0" hidden="1"/>
    </xf>
    <xf numFmtId="202" fontId="34" fillId="17" borderId="0" xfId="24" applyNumberFormat="1" applyFont="1" applyBorder="1" applyAlignment="1" applyProtection="1">
      <alignment horizontal="right"/>
      <protection locked="0" hidden="1"/>
    </xf>
    <xf numFmtId="3" fontId="34" fillId="17" borderId="0" xfId="24" applyNumberFormat="1" applyFont="1" applyBorder="1" applyAlignment="1" applyProtection="1">
      <alignment horizontal="right"/>
      <protection locked="0" hidden="1"/>
    </xf>
    <xf numFmtId="198" fontId="22" fillId="0" borderId="44" xfId="70" applyNumberFormat="1" applyFont="1" applyBorder="1" applyProtection="1">
      <protection locked="0" hidden="1"/>
    </xf>
    <xf numFmtId="176" fontId="25" fillId="0" borderId="44" xfId="0" applyFont="1" applyFill="1" applyBorder="1" applyAlignment="1" applyProtection="1">
      <alignment horizontal="center"/>
      <protection locked="0" hidden="1"/>
    </xf>
    <xf numFmtId="14" fontId="25" fillId="0" borderId="44" xfId="70" applyNumberFormat="1" applyFont="1" applyFill="1" applyBorder="1" applyAlignment="1" applyProtection="1">
      <alignment horizontal="right"/>
      <protection locked="0" hidden="1"/>
    </xf>
    <xf numFmtId="198" fontId="24" fillId="14" borderId="47" xfId="8" applyNumberFormat="1" applyFont="1" applyBorder="1" applyProtection="1">
      <protection locked="0" hidden="1"/>
    </xf>
    <xf numFmtId="14" fontId="25" fillId="0" borderId="0" xfId="70" applyNumberFormat="1" applyFont="1" applyFill="1" applyBorder="1" applyAlignment="1" applyProtection="1">
      <alignment horizontal="right"/>
      <protection locked="0" hidden="1"/>
    </xf>
    <xf numFmtId="14" fontId="3" fillId="0" borderId="0" xfId="70" applyNumberFormat="1" applyFont="1" applyFill="1" applyBorder="1" applyAlignment="1" applyProtection="1">
      <alignment horizontal="right"/>
      <protection locked="0" hidden="1"/>
    </xf>
    <xf numFmtId="176" fontId="35" fillId="17" borderId="0" xfId="24" applyFont="1" applyBorder="1" applyAlignment="1">
      <alignment vertical="center"/>
    </xf>
    <xf numFmtId="176" fontId="35" fillId="17" borderId="0" xfId="24" applyFont="1" applyBorder="1" applyAlignment="1" applyProtection="1">
      <alignment horizontal="center"/>
      <protection locked="0" hidden="1"/>
    </xf>
    <xf numFmtId="176" fontId="36" fillId="0" borderId="0" xfId="0" applyFont="1" applyFill="1" applyBorder="1" applyAlignment="1" applyProtection="1">
      <protection locked="0" hidden="1"/>
    </xf>
    <xf numFmtId="14" fontId="37" fillId="15" borderId="0" xfId="25" applyNumberFormat="1" applyFont="1" applyBorder="1" applyAlignment="1" applyProtection="1">
      <alignment horizontal="right"/>
      <protection locked="0" hidden="1"/>
    </xf>
    <xf numFmtId="190" fontId="37" fillId="15" borderId="0" xfId="1" applyNumberFormat="1" applyFont="1" applyFill="1" applyBorder="1" applyAlignment="1" applyProtection="1">
      <alignment horizontal="right"/>
      <protection locked="0" hidden="1"/>
    </xf>
    <xf numFmtId="200" fontId="22" fillId="13" borderId="0" xfId="0" applyNumberFormat="1" applyFont="1" applyFill="1" applyBorder="1" applyAlignment="1" applyProtection="1">
      <alignment horizontal="right"/>
      <protection locked="0" hidden="1"/>
    </xf>
    <xf numFmtId="200" fontId="28" fillId="18" borderId="0" xfId="0" applyNumberFormat="1" applyFont="1" applyFill="1" applyBorder="1" applyAlignment="1" applyProtection="1">
      <alignment horizontal="right"/>
      <protection locked="0" hidden="1"/>
    </xf>
    <xf numFmtId="190" fontId="22" fillId="18" borderId="0" xfId="1" applyNumberFormat="1" applyFont="1" applyFill="1" applyBorder="1" applyAlignment="1" applyProtection="1">
      <alignment horizontal="right"/>
      <protection locked="0" hidden="1"/>
    </xf>
    <xf numFmtId="3" fontId="22" fillId="8" borderId="0" xfId="0" applyNumberFormat="1" applyFont="1" applyFill="1" applyBorder="1" applyAlignment="1" applyProtection="1">
      <alignment horizontal="right"/>
      <protection locked="0" hidden="1"/>
    </xf>
    <xf numFmtId="4" fontId="34" fillId="17" borderId="0" xfId="24" applyNumberFormat="1" applyFont="1" applyBorder="1" applyAlignment="1" applyProtection="1">
      <alignment horizontal="right"/>
      <protection locked="0" hidden="1"/>
    </xf>
    <xf numFmtId="176" fontId="22" fillId="0" borderId="0" xfId="0" applyFont="1" applyFill="1" applyBorder="1" applyAlignment="1" applyProtection="1">
      <alignment horizontal="right"/>
      <protection locked="0" hidden="1"/>
    </xf>
    <xf numFmtId="3" fontId="38" fillId="0" borderId="0" xfId="0" applyNumberFormat="1" applyFont="1" applyFill="1" applyBorder="1" applyAlignment="1" applyProtection="1">
      <alignment horizontal="right"/>
      <protection locked="0" hidden="1"/>
    </xf>
    <xf numFmtId="176" fontId="22" fillId="0" borderId="0" xfId="70" applyFont="1" applyFill="1" applyBorder="1" applyProtection="1">
      <protection locked="0" hidden="1"/>
    </xf>
    <xf numFmtId="176" fontId="27" fillId="0" borderId="0" xfId="70" applyFont="1" applyFill="1" applyBorder="1" applyProtection="1">
      <protection locked="0" hidden="1"/>
    </xf>
    <xf numFmtId="9" fontId="25" fillId="0" borderId="0" xfId="0" applyNumberFormat="1" applyFont="1" applyFill="1" applyBorder="1" applyAlignment="1" applyProtection="1">
      <alignment horizontal="center"/>
      <protection locked="0" hidden="1"/>
    </xf>
    <xf numFmtId="3" fontId="28" fillId="0" borderId="0" xfId="0" applyNumberFormat="1" applyFont="1" applyFill="1" applyBorder="1" applyAlignment="1" applyProtection="1">
      <alignment horizontal="right"/>
      <protection locked="0" hidden="1"/>
    </xf>
    <xf numFmtId="198" fontId="22" fillId="0" borderId="0" xfId="70" applyNumberFormat="1" applyFont="1" applyFill="1" applyBorder="1" applyProtection="1">
      <protection locked="0" hidden="1"/>
    </xf>
    <xf numFmtId="176" fontId="39" fillId="0" borderId="0" xfId="27" applyFont="1" applyFill="1" applyBorder="1" applyAlignment="1" applyProtection="1">
      <alignment wrapText="1"/>
      <protection locked="0" hidden="1"/>
    </xf>
    <xf numFmtId="176" fontId="39" fillId="0" borderId="0" xfId="27" applyFont="1" applyFill="1" applyBorder="1" applyAlignment="1" applyProtection="1">
      <alignment horizontal="center"/>
      <protection locked="0" hidden="1"/>
    </xf>
    <xf numFmtId="176" fontId="39" fillId="0" borderId="0" xfId="27" applyFont="1" applyFill="1" applyBorder="1" applyAlignment="1" applyProtection="1">
      <protection locked="0" hidden="1"/>
    </xf>
    <xf numFmtId="3" fontId="39" fillId="0" borderId="0" xfId="27" applyNumberFormat="1" applyFont="1" applyFill="1" applyBorder="1" applyAlignment="1" applyProtection="1">
      <alignment horizontal="right"/>
      <protection locked="0" hidden="1"/>
    </xf>
    <xf numFmtId="3" fontId="35" fillId="17" borderId="0" xfId="24" applyNumberFormat="1" applyFont="1" applyBorder="1" applyAlignment="1" applyProtection="1">
      <alignment wrapText="1"/>
      <protection locked="0" hidden="1"/>
    </xf>
    <xf numFmtId="176" fontId="35" fillId="0" borderId="0" xfId="24" applyFont="1" applyFill="1" applyBorder="1" applyAlignment="1" applyProtection="1">
      <protection locked="0" hidden="1"/>
    </xf>
    <xf numFmtId="10" fontId="38" fillId="8" borderId="0" xfId="3" applyNumberFormat="1" applyFont="1" applyFill="1" applyBorder="1" applyAlignment="1" applyProtection="1">
      <alignment horizontal="right"/>
      <protection locked="0" hidden="1"/>
    </xf>
    <xf numFmtId="190" fontId="36" fillId="0" borderId="0" xfId="1" applyNumberFormat="1" applyFont="1" applyFill="1" applyBorder="1" applyAlignment="1" applyProtection="1">
      <alignment horizontal="right"/>
      <protection locked="0" hidden="1"/>
    </xf>
    <xf numFmtId="3" fontId="35" fillId="17" borderId="0" xfId="24" applyNumberFormat="1" applyFont="1" applyBorder="1" applyAlignment="1" applyProtection="1">
      <alignment horizontal="center" wrapText="1"/>
      <protection locked="0" hidden="1"/>
    </xf>
    <xf numFmtId="4" fontId="38" fillId="0" borderId="0" xfId="0" applyNumberFormat="1" applyFont="1" applyFill="1" applyBorder="1" applyAlignment="1" applyProtection="1">
      <alignment horizontal="right"/>
      <protection locked="0" hidden="1"/>
    </xf>
    <xf numFmtId="3" fontId="38" fillId="8" borderId="0" xfId="0" applyNumberFormat="1" applyFont="1" applyFill="1" applyBorder="1" applyAlignment="1" applyProtection="1">
      <alignment horizontal="right"/>
      <protection locked="0" hidden="1"/>
    </xf>
    <xf numFmtId="3" fontId="38" fillId="0" borderId="0" xfId="0" applyNumberFormat="1" applyFont="1" applyFill="1" applyBorder="1" applyAlignment="1" applyProtection="1">
      <alignment wrapText="1"/>
      <protection locked="0" hidden="1"/>
    </xf>
    <xf numFmtId="176" fontId="36" fillId="0" borderId="0" xfId="0" applyFont="1" applyFill="1" applyBorder="1" applyAlignment="1" applyProtection="1">
      <alignment horizontal="center"/>
      <protection locked="0" hidden="1"/>
    </xf>
    <xf numFmtId="3" fontId="35" fillId="17" borderId="0" xfId="24" applyNumberFormat="1" applyFont="1" applyBorder="1" applyAlignment="1" applyProtection="1">
      <alignment horizontal="center"/>
      <protection locked="0" hidden="1"/>
    </xf>
    <xf numFmtId="176" fontId="36" fillId="0" borderId="0" xfId="0" applyFont="1" applyFill="1" applyBorder="1" applyAlignment="1" applyProtection="1">
      <alignment horizontal="right"/>
      <protection locked="0" hidden="1"/>
    </xf>
    <xf numFmtId="10" fontId="38" fillId="0" borderId="0" xfId="0" applyNumberFormat="1" applyFont="1" applyFill="1" applyBorder="1" applyAlignment="1" applyProtection="1">
      <alignment horizontal="right"/>
      <protection locked="0" hidden="1"/>
    </xf>
    <xf numFmtId="197" fontId="40" fillId="19" borderId="0" xfId="22" applyNumberFormat="1" applyFont="1" applyBorder="1" applyAlignment="1" applyProtection="1">
      <protection locked="0" hidden="1"/>
    </xf>
    <xf numFmtId="197" fontId="41" fillId="19" borderId="0" xfId="22" applyNumberFormat="1" applyFont="1" applyBorder="1" applyAlignment="1" applyProtection="1">
      <alignment horizontal="center"/>
      <protection locked="0" hidden="1"/>
    </xf>
    <xf numFmtId="197" fontId="41" fillId="19" borderId="0" xfId="22" applyNumberFormat="1" applyFont="1" applyBorder="1" applyAlignment="1" applyProtection="1">
      <protection locked="0" hidden="1"/>
    </xf>
    <xf numFmtId="197" fontId="41" fillId="19" borderId="0" xfId="22" applyNumberFormat="1" applyFont="1" applyBorder="1" applyAlignment="1" applyProtection="1">
      <alignment horizontal="right"/>
      <protection locked="0" hidden="1"/>
    </xf>
    <xf numFmtId="176" fontId="22" fillId="2" borderId="1" xfId="0" applyFont="1" applyFill="1" applyBorder="1" applyAlignment="1" applyProtection="1">
      <alignment wrapText="1"/>
      <protection locked="0" hidden="1"/>
    </xf>
    <xf numFmtId="3" fontId="22" fillId="0" borderId="1" xfId="0" applyNumberFormat="1" applyFont="1" applyFill="1" applyBorder="1" applyAlignment="1" applyProtection="1">
      <alignment horizontal="center"/>
      <protection locked="0" hidden="1"/>
    </xf>
    <xf numFmtId="3" fontId="22" fillId="0" borderId="1" xfId="0" applyNumberFormat="1" applyFont="1" applyFill="1" applyBorder="1" applyAlignment="1" applyProtection="1">
      <alignment horizontal="right"/>
      <protection locked="0" hidden="1"/>
    </xf>
    <xf numFmtId="176" fontId="22" fillId="2" borderId="0" xfId="0" applyFont="1" applyFill="1" applyBorder="1" applyAlignment="1" applyProtection="1">
      <alignment wrapText="1"/>
      <protection locked="0" hidden="1"/>
    </xf>
    <xf numFmtId="3" fontId="22" fillId="0" borderId="0" xfId="0" applyNumberFormat="1" applyFont="1" applyFill="1" applyBorder="1" applyAlignment="1" applyProtection="1">
      <alignment horizontal="center"/>
      <protection locked="0" hidden="1"/>
    </xf>
    <xf numFmtId="10" fontId="22" fillId="0" borderId="0" xfId="0" applyNumberFormat="1" applyFont="1" applyFill="1" applyBorder="1" applyAlignment="1" applyProtection="1">
      <alignment horizontal="center"/>
      <protection locked="0" hidden="1"/>
    </xf>
    <xf numFmtId="10" fontId="22" fillId="0" borderId="0" xfId="0" applyNumberFormat="1" applyFont="1" applyFill="1" applyBorder="1" applyAlignment="1" applyProtection="1">
      <protection locked="0" hidden="1"/>
    </xf>
    <xf numFmtId="176" fontId="22" fillId="2" borderId="2" xfId="0" applyFont="1" applyFill="1" applyBorder="1" applyAlignment="1" applyProtection="1">
      <alignment wrapText="1"/>
      <protection locked="0" hidden="1"/>
    </xf>
    <xf numFmtId="10" fontId="22" fillId="0" borderId="2" xfId="0" applyNumberFormat="1" applyFont="1" applyFill="1" applyBorder="1" applyAlignment="1" applyProtection="1">
      <alignment horizontal="center"/>
      <protection locked="0" hidden="1"/>
    </xf>
    <xf numFmtId="3" fontId="22" fillId="0" borderId="2" xfId="0" applyNumberFormat="1" applyFont="1" applyFill="1" applyBorder="1" applyAlignment="1" applyProtection="1">
      <alignment horizontal="right"/>
      <protection locked="0" hidden="1"/>
    </xf>
    <xf numFmtId="176" fontId="23" fillId="2" borderId="0" xfId="0" applyFont="1" applyFill="1" applyBorder="1" applyAlignment="1" applyProtection="1">
      <protection locked="0" hidden="1"/>
    </xf>
    <xf numFmtId="176" fontId="23" fillId="0" borderId="0" xfId="0" applyFont="1" applyFill="1" applyAlignment="1" applyProtection="1">
      <alignment horizontal="center"/>
      <protection locked="0" hidden="1"/>
    </xf>
    <xf numFmtId="176" fontId="23" fillId="0" borderId="0" xfId="0" applyFont="1" applyFill="1" applyBorder="1" applyAlignment="1" applyProtection="1">
      <protection locked="0" hidden="1"/>
    </xf>
    <xf numFmtId="176" fontId="23" fillId="0" borderId="0" xfId="0" applyFont="1" applyFill="1" applyBorder="1" applyAlignment="1" applyProtection="1">
      <alignment horizontal="right"/>
      <protection locked="0" hidden="1"/>
    </xf>
    <xf numFmtId="176" fontId="4" fillId="2" borderId="0" xfId="0" applyFont="1" applyFill="1" applyBorder="1" applyAlignment="1" applyProtection="1">
      <protection locked="0" hidden="1"/>
    </xf>
    <xf numFmtId="190" fontId="23" fillId="0" borderId="0" xfId="0" applyNumberFormat="1" applyFont="1" applyFill="1" applyBorder="1" applyAlignment="1" applyProtection="1">
      <alignment horizontal="right"/>
      <protection locked="0" hidden="1"/>
    </xf>
    <xf numFmtId="10" fontId="38" fillId="0" borderId="0" xfId="3" applyNumberFormat="1" applyFont="1" applyFill="1" applyBorder="1" applyAlignment="1" applyProtection="1">
      <alignment horizontal="right"/>
      <protection locked="0" hidden="1"/>
    </xf>
    <xf numFmtId="3" fontId="23" fillId="0" borderId="0" xfId="0" applyNumberFormat="1" applyFont="1" applyFill="1" applyBorder="1" applyAlignment="1" applyProtection="1">
      <alignment horizontal="right"/>
      <protection locked="0" hidden="1"/>
    </xf>
    <xf numFmtId="176" fontId="42" fillId="0" borderId="0" xfId="0" applyFont="1" applyAlignment="1">
      <alignment horizontal="left" vertical="center" wrapText="1"/>
    </xf>
    <xf numFmtId="176" fontId="43" fillId="0" borderId="6" xfId="57" applyFont="1" applyFill="1" applyBorder="1" applyAlignment="1">
      <alignment horizontal="left" vertical="center" wrapText="1"/>
    </xf>
    <xf numFmtId="10" fontId="43" fillId="20" borderId="7" xfId="3" applyNumberFormat="1" applyFont="1" applyFill="1" applyBorder="1" applyAlignment="1" applyProtection="1">
      <alignment horizontal="center" vertical="center" shrinkToFit="1"/>
      <protection locked="0"/>
    </xf>
    <xf numFmtId="176" fontId="43" fillId="0" borderId="6" xfId="0" applyFont="1" applyFill="1" applyBorder="1" applyAlignment="1">
      <alignment horizontal="left" vertical="center" wrapText="1"/>
    </xf>
    <xf numFmtId="184" fontId="43" fillId="0" borderId="7" xfId="1" applyNumberFormat="1" applyFont="1" applyFill="1" applyBorder="1" applyAlignment="1" applyProtection="1">
      <alignment horizontal="center" vertical="center" shrinkToFit="1"/>
      <protection locked="0"/>
    </xf>
    <xf numFmtId="176" fontId="43" fillId="0" borderId="6" xfId="57" applyFont="1" applyFill="1" applyBorder="1" applyAlignment="1">
      <alignment horizontal="center" vertical="center" wrapText="1"/>
    </xf>
    <xf numFmtId="176" fontId="44" fillId="0" borderId="6" xfId="57" applyFont="1" applyFill="1" applyBorder="1" applyAlignment="1">
      <alignment horizontal="left" vertical="center" wrapText="1"/>
    </xf>
    <xf numFmtId="176" fontId="44" fillId="0" borderId="0" xfId="0" applyFont="1" applyFill="1" applyBorder="1" applyAlignment="1">
      <alignment horizontal="left" vertical="center" wrapText="1"/>
    </xf>
    <xf numFmtId="176" fontId="42" fillId="0" borderId="0" xfId="0" applyFont="1" applyAlignment="1">
      <alignment vertical="center" wrapText="1"/>
    </xf>
    <xf numFmtId="176" fontId="42" fillId="0" borderId="0" xfId="0" applyFont="1" applyAlignment="1">
      <alignment horizontal="center" vertical="center" shrinkToFit="1"/>
    </xf>
    <xf numFmtId="176" fontId="45" fillId="0" borderId="0" xfId="0" applyFont="1" applyFill="1" applyBorder="1" applyAlignment="1" applyProtection="1">
      <alignment horizontal="center" vertical="center" wrapText="1"/>
      <protection locked="0"/>
    </xf>
    <xf numFmtId="176" fontId="46" fillId="13" borderId="4" xfId="0" applyFont="1" applyFill="1" applyBorder="1" applyAlignment="1">
      <alignment horizontal="left" vertical="center" wrapText="1"/>
    </xf>
    <xf numFmtId="176" fontId="43" fillId="13" borderId="5" xfId="0" applyFont="1" applyFill="1" applyBorder="1" applyAlignment="1">
      <alignment horizontal="left" vertical="center" wrapText="1"/>
    </xf>
    <xf numFmtId="176" fontId="43" fillId="0" borderId="5" xfId="0" applyFont="1" applyFill="1" applyBorder="1" applyAlignment="1">
      <alignment horizontal="center" vertical="center" wrapText="1"/>
    </xf>
    <xf numFmtId="176" fontId="43" fillId="0" borderId="5" xfId="0" applyFont="1" applyFill="1" applyBorder="1" applyAlignment="1">
      <alignment vertical="center" wrapText="1"/>
    </xf>
    <xf numFmtId="176" fontId="43" fillId="0" borderId="5" xfId="0" applyFont="1" applyFill="1" applyBorder="1" applyAlignment="1">
      <alignment horizontal="center" vertical="center" shrinkToFit="1"/>
    </xf>
    <xf numFmtId="176" fontId="43" fillId="0" borderId="7" xfId="0" applyFont="1" applyFill="1" applyBorder="1" applyAlignment="1" applyProtection="1">
      <alignment horizontal="center" vertical="center" wrapText="1"/>
      <protection locked="0"/>
    </xf>
    <xf numFmtId="176" fontId="43" fillId="0" borderId="7" xfId="0" applyFont="1" applyFill="1" applyBorder="1" applyAlignment="1">
      <alignment horizontal="center" vertical="center" wrapText="1"/>
    </xf>
    <xf numFmtId="176" fontId="47" fillId="0" borderId="7" xfId="0" applyFont="1" applyBorder="1" applyAlignment="1">
      <alignment horizontal="center" vertical="center" wrapText="1"/>
    </xf>
    <xf numFmtId="176" fontId="43" fillId="0" borderId="7" xfId="0" applyFont="1" applyFill="1" applyBorder="1" applyAlignment="1">
      <alignment horizontal="center" vertical="center" shrinkToFit="1"/>
    </xf>
    <xf numFmtId="3" fontId="44" fillId="0" borderId="7" xfId="57" applyNumberFormat="1" applyFont="1" applyFill="1" applyBorder="1" applyAlignment="1" applyProtection="1">
      <alignment vertical="center" wrapText="1"/>
      <protection locked="0"/>
    </xf>
    <xf numFmtId="176" fontId="43" fillId="0" borderId="7" xfId="0" applyFont="1" applyFill="1" applyBorder="1" applyAlignment="1">
      <alignment horizontal="center" vertical="center" wrapText="1" shrinkToFit="1"/>
    </xf>
    <xf numFmtId="10" fontId="44" fillId="0" borderId="7" xfId="57" applyNumberFormat="1" applyFont="1" applyFill="1" applyBorder="1" applyAlignment="1" applyProtection="1">
      <alignment horizontal="center" vertical="center" wrapText="1"/>
      <protection locked="0"/>
    </xf>
    <xf numFmtId="176" fontId="48" fillId="0" borderId="7" xfId="0" applyFont="1" applyBorder="1" applyAlignment="1" applyProtection="1">
      <alignment vertical="center" wrapText="1"/>
      <protection locked="0"/>
    </xf>
    <xf numFmtId="176" fontId="43" fillId="0" borderId="7" xfId="57" applyFont="1" applyFill="1" applyBorder="1" applyAlignment="1">
      <alignment horizontal="left" vertical="center" wrapText="1"/>
    </xf>
    <xf numFmtId="3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57" applyFont="1" applyFill="1" applyBorder="1" applyAlignment="1">
      <alignment vertical="center" wrapText="1"/>
    </xf>
    <xf numFmtId="4" fontId="43" fillId="0" borderId="7" xfId="57" applyNumberFormat="1" applyFont="1" applyFill="1" applyBorder="1" applyAlignment="1" applyProtection="1">
      <alignment horizontal="center" vertical="center" shrinkToFit="1"/>
      <protection locked="0"/>
    </xf>
    <xf numFmtId="197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6" xfId="57" applyFont="1" applyFill="1" applyBorder="1" applyAlignment="1">
      <alignment horizontal="center" vertical="center" wrapText="1"/>
    </xf>
    <xf numFmtId="176" fontId="49" fillId="0" borderId="6" xfId="57" applyFont="1" applyFill="1" applyBorder="1" applyAlignment="1">
      <alignment horizontal="left" vertical="center" wrapText="1"/>
    </xf>
    <xf numFmtId="203" fontId="44" fillId="13" borderId="7" xfId="0" applyNumberFormat="1" applyFont="1" applyFill="1" applyBorder="1" applyAlignment="1" applyProtection="1">
      <alignment horizontal="center" vertical="center" shrinkToFit="1"/>
      <protection locked="0"/>
    </xf>
    <xf numFmtId="203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57" applyFont="1" applyFill="1" applyBorder="1" applyAlignment="1">
      <alignment horizontal="left" vertical="center" wrapText="1"/>
    </xf>
    <xf numFmtId="9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204" fontId="48" fillId="13" borderId="7" xfId="114" applyNumberFormat="1" applyFont="1" applyFill="1" applyBorder="1" applyAlignment="1" applyProtection="1">
      <alignment horizontal="center" vertical="center" shrinkToFit="1"/>
      <protection locked="0"/>
    </xf>
    <xf numFmtId="4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3" fontId="44" fillId="0" borderId="7" xfId="57" applyNumberFormat="1" applyFont="1" applyFill="1" applyBorder="1" applyAlignment="1" applyProtection="1">
      <alignment horizontal="center" vertical="center" wrapText="1"/>
      <protection locked="0"/>
    </xf>
    <xf numFmtId="3" fontId="47" fillId="0" borderId="7" xfId="0" applyNumberFormat="1" applyFont="1" applyFill="1" applyBorder="1" applyAlignment="1" applyProtection="1">
      <alignment horizontal="center" vertical="center" shrinkToFit="1"/>
      <protection locked="0"/>
    </xf>
    <xf numFmtId="9" fontId="44" fillId="0" borderId="7" xfId="3" applyFont="1" applyFill="1" applyBorder="1" applyAlignment="1" applyProtection="1">
      <alignment horizontal="center" vertical="center" wrapText="1"/>
      <protection locked="0"/>
    </xf>
    <xf numFmtId="185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190" fontId="44" fillId="0" borderId="7" xfId="1" applyNumberFormat="1" applyFont="1" applyFill="1" applyBorder="1" applyAlignment="1" applyProtection="1">
      <alignment horizontal="center" vertical="center" shrinkToFit="1"/>
      <protection locked="0"/>
    </xf>
    <xf numFmtId="177" fontId="44" fillId="0" borderId="7" xfId="1" applyFont="1" applyFill="1" applyBorder="1" applyAlignment="1" applyProtection="1">
      <alignment vertical="center" wrapText="1"/>
      <protection locked="0"/>
    </xf>
    <xf numFmtId="205" fontId="48" fillId="13" borderId="7" xfId="114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0" applyFont="1" applyFill="1" applyBorder="1" applyAlignment="1" applyProtection="1">
      <alignment horizontal="center" vertical="center" shrinkToFit="1"/>
      <protection locked="0"/>
    </xf>
    <xf numFmtId="3" fontId="50" fillId="0" borderId="7" xfId="57" applyNumberFormat="1" applyFont="1" applyFill="1" applyBorder="1" applyAlignment="1" applyProtection="1">
      <alignment horizontal="center" vertical="center" shrinkToFit="1"/>
      <protection locked="0"/>
    </xf>
    <xf numFmtId="185" fontId="44" fillId="0" borderId="7" xfId="57" applyNumberFormat="1" applyFont="1" applyFill="1" applyBorder="1" applyAlignment="1" applyProtection="1">
      <alignment horizontal="center" vertical="center" wrapText="1"/>
      <protection locked="0"/>
    </xf>
    <xf numFmtId="10" fontId="44" fillId="13" borderId="7" xfId="57" applyNumberFormat="1" applyFont="1" applyFill="1" applyBorder="1" applyAlignment="1" applyProtection="1">
      <alignment horizontal="center" vertical="center" shrinkToFit="1"/>
      <protection locked="0"/>
    </xf>
    <xf numFmtId="4" fontId="44" fillId="0" borderId="6" xfId="0" applyNumberFormat="1" applyFont="1" applyFill="1" applyBorder="1" applyAlignment="1">
      <alignment horizontal="left" vertical="center" wrapText="1"/>
    </xf>
    <xf numFmtId="10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10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202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185" fontId="44" fillId="13" borderId="7" xfId="57" applyNumberFormat="1" applyFont="1" applyFill="1" applyBorder="1" applyAlignment="1" applyProtection="1">
      <alignment horizontal="center" vertical="center" shrinkToFit="1"/>
      <protection locked="0"/>
    </xf>
    <xf numFmtId="185" fontId="43" fillId="0" borderId="7" xfId="57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9" fillId="0" borderId="7" xfId="0" applyNumberFormat="1" applyFont="1" applyFill="1" applyBorder="1" applyAlignment="1" applyProtection="1">
      <alignment vertical="center" wrapText="1"/>
      <protection locked="0"/>
    </xf>
    <xf numFmtId="4" fontId="44" fillId="21" borderId="7" xfId="57" applyNumberFormat="1" applyFont="1" applyFill="1" applyBorder="1" applyAlignment="1" applyProtection="1">
      <alignment horizontal="center" vertical="center" shrinkToFit="1"/>
      <protection locked="0"/>
    </xf>
    <xf numFmtId="193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206" fontId="4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4" fillId="0" borderId="7" xfId="0" applyFont="1" applyFill="1" applyBorder="1" applyAlignment="1" applyProtection="1">
      <alignment vertical="center" wrapText="1"/>
      <protection locked="0"/>
    </xf>
    <xf numFmtId="176" fontId="49" fillId="0" borderId="7" xfId="57" applyFont="1" applyFill="1" applyBorder="1" applyAlignment="1">
      <alignment horizontal="left" vertical="center" wrapText="1"/>
    </xf>
    <xf numFmtId="204" fontId="44" fillId="13" borderId="7" xfId="57" applyNumberFormat="1" applyFont="1" applyFill="1" applyBorder="1" applyAlignment="1" applyProtection="1">
      <alignment horizontal="center" vertical="center" shrinkToFit="1"/>
      <protection locked="0"/>
    </xf>
    <xf numFmtId="193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0" applyFont="1" applyFill="1" applyBorder="1" applyAlignment="1" applyProtection="1">
      <alignment horizontal="center" vertical="center" wrapText="1"/>
      <protection locked="0"/>
    </xf>
    <xf numFmtId="193" fontId="48" fillId="13" borderId="7" xfId="0" applyNumberFormat="1" applyFont="1" applyFill="1" applyBorder="1" applyAlignment="1" applyProtection="1">
      <alignment horizontal="center" vertical="center" shrinkToFit="1"/>
      <protection locked="0"/>
    </xf>
    <xf numFmtId="176" fontId="48" fillId="0" borderId="7" xfId="0" applyFont="1" applyBorder="1" applyAlignment="1">
      <alignment vertical="center" wrapText="1"/>
    </xf>
    <xf numFmtId="193" fontId="48" fillId="13" borderId="7" xfId="0" applyNumberFormat="1" applyFont="1" applyFill="1" applyBorder="1" applyAlignment="1">
      <alignment horizontal="center" vertical="center" shrinkToFit="1"/>
    </xf>
    <xf numFmtId="176" fontId="48" fillId="0" borderId="7" xfId="0" applyFont="1" applyBorder="1" applyAlignment="1">
      <alignment horizontal="center" vertical="center" shrinkToFit="1"/>
    </xf>
    <xf numFmtId="204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6" xfId="0" applyFont="1" applyFill="1" applyBorder="1" applyAlignment="1">
      <alignment horizontal="left" vertical="center" wrapText="1"/>
    </xf>
    <xf numFmtId="205" fontId="44" fillId="13" borderId="7" xfId="1" applyNumberFormat="1" applyFont="1" applyFill="1" applyBorder="1" applyAlignment="1" applyProtection="1">
      <alignment horizontal="center" vertical="center" shrinkToFit="1"/>
      <protection locked="0"/>
    </xf>
    <xf numFmtId="204" fontId="44" fillId="0" borderId="7" xfId="0" applyNumberFormat="1" applyFont="1" applyFill="1" applyBorder="1" applyAlignment="1" applyProtection="1">
      <alignment horizontal="center" vertical="center" wrapText="1"/>
      <protection locked="0"/>
    </xf>
    <xf numFmtId="204" fontId="44" fillId="0" borderId="7" xfId="0" applyNumberFormat="1" applyFont="1" applyFill="1" applyBorder="1" applyAlignment="1" applyProtection="1">
      <alignment vertical="center" wrapText="1"/>
      <protection locked="0"/>
    </xf>
    <xf numFmtId="207" fontId="44" fillId="0" borderId="7" xfId="1" applyNumberFormat="1" applyFont="1" applyFill="1" applyBorder="1" applyAlignment="1" applyProtection="1">
      <alignment horizontal="center" vertical="center" shrinkToFit="1"/>
      <protection locked="0"/>
    </xf>
    <xf numFmtId="204" fontId="44" fillId="13" borderId="7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7" xfId="0" applyFont="1" applyFill="1" applyBorder="1" applyAlignment="1">
      <alignment vertical="center" wrapText="1"/>
    </xf>
    <xf numFmtId="176" fontId="44" fillId="0" borderId="7" xfId="0" applyFont="1" applyFill="1" applyBorder="1" applyAlignment="1">
      <alignment horizontal="center" vertical="center" shrinkToFit="1"/>
    </xf>
    <xf numFmtId="208" fontId="47" fillId="0" borderId="7" xfId="0" applyNumberFormat="1" applyFont="1" applyFill="1" applyBorder="1" applyAlignment="1" applyProtection="1">
      <alignment horizontal="center" vertical="center" shrinkToFit="1"/>
    </xf>
    <xf numFmtId="176" fontId="44" fillId="0" borderId="7" xfId="0" applyFont="1" applyFill="1" applyBorder="1" applyAlignment="1">
      <alignment horizontal="right" vertical="center" wrapText="1"/>
    </xf>
    <xf numFmtId="3" fontId="43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3" fillId="0" borderId="7" xfId="57" applyNumberFormat="1" applyFont="1" applyFill="1" applyBorder="1" applyAlignment="1" applyProtection="1">
      <alignment horizontal="center" vertical="center" wrapText="1"/>
      <protection locked="0"/>
    </xf>
    <xf numFmtId="176" fontId="48" fillId="0" borderId="7" xfId="0" applyFont="1" applyBorder="1" applyAlignment="1">
      <alignment horizontal="right" vertical="center" wrapText="1"/>
    </xf>
    <xf numFmtId="3" fontId="44" fillId="13" borderId="7" xfId="0" applyNumberFormat="1" applyFont="1" applyFill="1" applyBorder="1" applyAlignment="1" applyProtection="1">
      <alignment horizontal="center" vertical="center" shrinkToFit="1"/>
      <protection locked="0"/>
    </xf>
    <xf numFmtId="3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9" fontId="44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44" fillId="0" borderId="7" xfId="0" applyNumberFormat="1" applyFont="1" applyFill="1" applyBorder="1" applyAlignment="1" applyProtection="1">
      <alignment horizontal="center" vertical="center" wrapText="1"/>
      <protection locked="0"/>
    </xf>
    <xf numFmtId="10" fontId="44" fillId="8" borderId="7" xfId="0" applyNumberFormat="1" applyFont="1" applyFill="1" applyBorder="1" applyAlignment="1" applyProtection="1">
      <alignment horizontal="center" vertical="center" shrinkToFit="1"/>
      <protection locked="0"/>
    </xf>
    <xf numFmtId="193" fontId="48" fillId="8" borderId="7" xfId="0" applyNumberFormat="1" applyFont="1" applyFill="1" applyBorder="1" applyAlignment="1" applyProtection="1">
      <alignment horizontal="center" vertical="center" shrinkToFit="1"/>
      <protection locked="0"/>
    </xf>
    <xf numFmtId="2" fontId="43" fillId="0" borderId="7" xfId="1" applyNumberFormat="1" applyFont="1" applyFill="1" applyBorder="1" applyAlignment="1" applyProtection="1">
      <alignment horizontal="center" vertical="center" shrinkToFi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185" fontId="50" fillId="0" borderId="7" xfId="57" applyNumberFormat="1" applyFont="1" applyFill="1" applyBorder="1" applyAlignment="1" applyProtection="1">
      <alignment horizontal="center" vertical="center" shrinkToFit="1"/>
      <protection locked="0"/>
    </xf>
    <xf numFmtId="4" fontId="4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4" fillId="0" borderId="7" xfId="0" applyFont="1" applyFill="1" applyBorder="1" applyAlignment="1">
      <alignment horizontal="left" vertical="center" wrapText="1"/>
    </xf>
    <xf numFmtId="2" fontId="4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6" xfId="72" applyFont="1" applyFill="1" applyBorder="1" applyAlignment="1">
      <alignment horizontal="left" vertical="center" wrapText="1"/>
    </xf>
    <xf numFmtId="209" fontId="44" fillId="13" borderId="7" xfId="1" applyNumberFormat="1" applyFont="1" applyFill="1" applyBorder="1" applyAlignment="1" applyProtection="1">
      <alignment horizontal="center" vertical="center" shrinkToFit="1"/>
      <protection locked="0"/>
    </xf>
    <xf numFmtId="185" fontId="43" fillId="0" borderId="7" xfId="69" applyNumberFormat="1" applyFont="1" applyFill="1" applyBorder="1" applyAlignment="1" applyProtection="1">
      <alignment horizontal="center" vertical="center" shrinkToFit="1"/>
      <protection locked="0"/>
    </xf>
    <xf numFmtId="176" fontId="43" fillId="0" borderId="7" xfId="0" applyFont="1" applyFill="1" applyBorder="1" applyAlignment="1">
      <alignment vertical="center" wrapText="1"/>
    </xf>
    <xf numFmtId="185" fontId="44" fillId="8" borderId="7" xfId="72" applyNumberFormat="1" applyFont="1" applyFill="1" applyBorder="1" applyAlignment="1" applyProtection="1">
      <alignment horizontal="center" vertical="center" wrapText="1"/>
      <protection locked="0"/>
    </xf>
    <xf numFmtId="210" fontId="43" fillId="0" borderId="7" xfId="1" applyNumberFormat="1" applyFont="1" applyFill="1" applyBorder="1" applyAlignment="1" applyProtection="1">
      <alignment horizontal="center" vertical="center" shrinkToFit="1"/>
      <protection locked="0"/>
    </xf>
    <xf numFmtId="185" fontId="44" fillId="0" borderId="7" xfId="72" applyNumberFormat="1" applyFont="1" applyFill="1" applyBorder="1" applyAlignment="1" applyProtection="1">
      <alignment horizontal="center" vertical="center" wrapText="1"/>
      <protection locked="0"/>
    </xf>
    <xf numFmtId="176" fontId="51" fillId="0" borderId="7" xfId="0" applyFont="1" applyBorder="1" applyAlignment="1">
      <alignment vertical="center" wrapText="1"/>
    </xf>
    <xf numFmtId="209" fontId="44" fillId="0" borderId="7" xfId="1" applyNumberFormat="1" applyFont="1" applyFill="1" applyBorder="1" applyAlignment="1" applyProtection="1">
      <alignment horizontal="center" vertical="center" shrinkToFit="1"/>
      <protection locked="0"/>
    </xf>
    <xf numFmtId="10" fontId="44" fillId="8" borderId="7" xfId="72" applyNumberFormat="1" applyFont="1" applyFill="1" applyBorder="1" applyAlignment="1" applyProtection="1">
      <alignment horizontal="center" vertical="center" wrapText="1"/>
      <protection locked="0"/>
    </xf>
    <xf numFmtId="176" fontId="48" fillId="0" borderId="7" xfId="0" applyFont="1" applyBorder="1" applyAlignment="1" applyProtection="1">
      <alignment horizontal="center" vertical="center" shrinkToFit="1"/>
      <protection locked="0"/>
    </xf>
    <xf numFmtId="211" fontId="48" fillId="0" borderId="7" xfId="0" applyNumberFormat="1" applyFont="1" applyBorder="1" applyAlignment="1">
      <alignment vertical="center" wrapText="1"/>
    </xf>
    <xf numFmtId="176" fontId="51" fillId="0" borderId="6" xfId="0" applyFont="1" applyBorder="1" applyAlignment="1">
      <alignment horizontal="left" vertical="center" wrapText="1"/>
    </xf>
    <xf numFmtId="209" fontId="43" fillId="0" borderId="7" xfId="1" applyNumberFormat="1" applyFont="1" applyFill="1" applyBorder="1" applyAlignment="1" applyProtection="1">
      <alignment horizontal="center" vertical="center" shrinkToFit="1"/>
      <protection locked="0"/>
    </xf>
    <xf numFmtId="184" fontId="44" fillId="0" borderId="7" xfId="57" applyNumberFormat="1" applyFont="1" applyFill="1" applyBorder="1" applyAlignment="1" applyProtection="1">
      <alignment horizontal="center" vertical="center" shrinkToFit="1"/>
      <protection locked="0"/>
    </xf>
    <xf numFmtId="9" fontId="44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51" fillId="0" borderId="10" xfId="0" applyFont="1" applyBorder="1" applyAlignment="1">
      <alignment horizontal="left" vertical="center" wrapText="1"/>
    </xf>
    <xf numFmtId="9" fontId="44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48" fillId="0" borderId="11" xfId="0" applyFont="1" applyBorder="1" applyAlignment="1" applyProtection="1">
      <alignment vertical="center" wrapText="1"/>
      <protection locked="0"/>
    </xf>
    <xf numFmtId="176" fontId="48" fillId="0" borderId="11" xfId="0" applyFont="1" applyBorder="1" applyAlignment="1">
      <alignment vertical="center" wrapText="1"/>
    </xf>
    <xf numFmtId="176" fontId="43" fillId="0" borderId="11" xfId="0" applyFont="1" applyFill="1" applyBorder="1" applyAlignment="1">
      <alignment horizontal="center" vertical="center" wrapText="1"/>
    </xf>
    <xf numFmtId="176" fontId="48" fillId="0" borderId="11" xfId="0" applyFont="1" applyBorder="1" applyAlignment="1">
      <alignment horizontal="center" vertical="center" shrinkToFit="1"/>
    </xf>
    <xf numFmtId="212" fontId="5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2" fillId="0" borderId="0" xfId="0" applyFont="1" applyFill="1" applyBorder="1" applyAlignment="1" applyProtection="1">
      <alignment vertical="center" wrapText="1"/>
      <protection locked="0"/>
    </xf>
    <xf numFmtId="176" fontId="43" fillId="0" borderId="0" xfId="0" applyFont="1" applyFill="1" applyBorder="1" applyAlignment="1">
      <alignment horizontal="center" vertical="center" wrapText="1"/>
    </xf>
    <xf numFmtId="176" fontId="43" fillId="0" borderId="24" xfId="0" applyFont="1" applyFill="1" applyBorder="1" applyAlignment="1">
      <alignment horizontal="center" vertical="center" shrinkToFit="1"/>
    </xf>
    <xf numFmtId="176" fontId="43" fillId="0" borderId="0" xfId="0" applyFont="1" applyFill="1" applyBorder="1" applyAlignment="1">
      <alignment vertical="center" wrapText="1"/>
    </xf>
    <xf numFmtId="176" fontId="42" fillId="13" borderId="0" xfId="0" applyFont="1" applyFill="1" applyAlignment="1">
      <alignment vertical="center" wrapText="1"/>
    </xf>
    <xf numFmtId="176" fontId="51" fillId="0" borderId="0" xfId="0" applyFont="1" applyAlignment="1">
      <alignment vertical="center" wrapText="1"/>
    </xf>
    <xf numFmtId="176" fontId="43" fillId="0" borderId="25" xfId="0" applyFont="1" applyFill="1" applyBorder="1" applyAlignment="1">
      <alignment horizontal="center" vertical="center" shrinkToFit="1"/>
    </xf>
    <xf numFmtId="176" fontId="42" fillId="8" borderId="0" xfId="0" applyFont="1" applyFill="1" applyAlignment="1">
      <alignment vertical="center" wrapText="1"/>
    </xf>
    <xf numFmtId="176" fontId="43" fillId="0" borderId="25" xfId="0" applyFont="1" applyFill="1" applyBorder="1" applyAlignment="1">
      <alignment horizontal="center" vertical="center" wrapText="1" shrinkToFit="1"/>
    </xf>
    <xf numFmtId="176" fontId="42" fillId="20" borderId="0" xfId="0" applyFont="1" applyFill="1" applyAlignment="1">
      <alignment vertical="center" wrapText="1"/>
    </xf>
    <xf numFmtId="3" fontId="44" fillId="0" borderId="25" xfId="57" applyNumberFormat="1" applyFont="1" applyFill="1" applyBorder="1" applyAlignment="1" applyProtection="1">
      <alignment horizontal="center" vertical="center" shrinkToFit="1"/>
      <protection locked="0"/>
    </xf>
    <xf numFmtId="4" fontId="43" fillId="0" borderId="25" xfId="57" applyNumberFormat="1" applyFont="1" applyFill="1" applyBorder="1" applyAlignment="1" applyProtection="1">
      <alignment horizontal="center" vertical="center" shrinkToFit="1"/>
      <protection locked="0"/>
    </xf>
    <xf numFmtId="193" fontId="44" fillId="0" borderId="25" xfId="0" applyNumberFormat="1" applyFont="1" applyFill="1" applyBorder="1" applyAlignment="1" applyProtection="1">
      <alignment horizontal="center" vertical="center" shrinkToFit="1"/>
      <protection locked="0"/>
    </xf>
    <xf numFmtId="9" fontId="44" fillId="0" borderId="25" xfId="0" applyNumberFormat="1" applyFont="1" applyFill="1" applyBorder="1" applyAlignment="1" applyProtection="1">
      <alignment horizontal="center" vertical="center" shrinkToFit="1"/>
      <protection locked="0"/>
    </xf>
    <xf numFmtId="176" fontId="44" fillId="0" borderId="0" xfId="0" applyFont="1" applyFill="1" applyAlignment="1">
      <alignment vertical="center" wrapText="1"/>
    </xf>
    <xf numFmtId="185" fontId="44" fillId="0" borderId="25" xfId="57" applyNumberFormat="1" applyFont="1" applyFill="1" applyBorder="1" applyAlignment="1" applyProtection="1">
      <alignment horizontal="center" vertical="center" shrinkToFit="1"/>
      <protection locked="0"/>
    </xf>
    <xf numFmtId="185" fontId="44" fillId="0" borderId="25" xfId="0" applyNumberFormat="1" applyFont="1" applyFill="1" applyBorder="1" applyAlignment="1" applyProtection="1">
      <alignment horizontal="center" vertical="center" shrinkToFit="1"/>
      <protection locked="0"/>
    </xf>
    <xf numFmtId="185" fontId="43" fillId="0" borderId="25" xfId="57" applyNumberFormat="1" applyFont="1" applyFill="1" applyBorder="1" applyAlignment="1" applyProtection="1">
      <alignment horizontal="center" vertical="center" shrinkToFit="1"/>
      <protection locked="0"/>
    </xf>
    <xf numFmtId="205" fontId="48" fillId="13" borderId="25" xfId="114" applyNumberFormat="1" applyFont="1" applyFill="1" applyBorder="1" applyAlignment="1" applyProtection="1">
      <alignment horizontal="center" vertical="center" shrinkToFit="1"/>
      <protection locked="0"/>
    </xf>
    <xf numFmtId="193" fontId="44" fillId="0" borderId="25" xfId="57" applyNumberFormat="1" applyFont="1" applyFill="1" applyBorder="1" applyAlignment="1" applyProtection="1">
      <alignment horizontal="center" vertical="center" shrinkToFit="1"/>
      <protection locked="0"/>
    </xf>
    <xf numFmtId="193" fontId="48" fillId="13" borderId="25" xfId="0" applyNumberFormat="1" applyFont="1" applyFill="1" applyBorder="1" applyAlignment="1" applyProtection="1">
      <alignment horizontal="center" vertical="center" shrinkToFit="1"/>
      <protection locked="0"/>
    </xf>
    <xf numFmtId="193" fontId="48" fillId="13" borderId="25" xfId="0" applyNumberFormat="1" applyFont="1" applyFill="1" applyBorder="1" applyAlignment="1">
      <alignment horizontal="center" vertical="center" shrinkToFit="1"/>
    </xf>
    <xf numFmtId="193" fontId="44" fillId="13" borderId="25" xfId="3" applyNumberFormat="1" applyFont="1" applyFill="1" applyBorder="1" applyAlignment="1">
      <alignment horizontal="center" vertical="center" shrinkToFit="1"/>
    </xf>
    <xf numFmtId="10" fontId="44" fillId="0" borderId="25" xfId="3" applyNumberFormat="1" applyFont="1" applyFill="1" applyBorder="1" applyAlignment="1">
      <alignment horizontal="center" vertical="center" shrinkToFit="1"/>
    </xf>
    <xf numFmtId="176" fontId="48" fillId="0" borderId="25" xfId="0" applyFont="1" applyBorder="1" applyAlignment="1">
      <alignment horizontal="center" vertical="center" shrinkToFit="1"/>
    </xf>
    <xf numFmtId="176" fontId="44" fillId="0" borderId="25" xfId="0" applyFont="1" applyFill="1" applyBorder="1" applyAlignment="1" applyProtection="1">
      <alignment horizontal="center" vertical="center" wrapText="1" shrinkToFit="1"/>
      <protection locked="0"/>
    </xf>
    <xf numFmtId="176" fontId="48" fillId="0" borderId="25" xfId="0" applyFont="1" applyBorder="1" applyAlignment="1" applyProtection="1">
      <alignment horizontal="center" vertical="center" shrinkToFit="1"/>
      <protection locked="0"/>
    </xf>
    <xf numFmtId="176" fontId="48" fillId="0" borderId="27" xfId="0" applyFont="1" applyBorder="1" applyAlignment="1">
      <alignment horizontal="center" vertical="center" shrinkToFit="1"/>
    </xf>
    <xf numFmtId="176" fontId="44" fillId="0" borderId="0" xfId="0" applyFont="1" applyFill="1" applyBorder="1" applyAlignment="1">
      <alignment vertical="center" wrapText="1"/>
    </xf>
    <xf numFmtId="176" fontId="0" fillId="0" borderId="0" xfId="58" applyAlignment="1">
      <alignment horizontal="center" vertical="center" wrapText="1"/>
    </xf>
    <xf numFmtId="2" fontId="0" fillId="0" borderId="0" xfId="58" applyNumberFormat="1" applyAlignment="1" applyProtection="1">
      <alignment horizontal="center" vertical="center"/>
      <protection hidden="1"/>
    </xf>
    <xf numFmtId="2" fontId="0" fillId="0" borderId="0" xfId="62" applyNumberFormat="1" applyFont="1" applyAlignment="1" applyProtection="1">
      <alignment horizontal="center" vertical="center"/>
      <protection hidden="1"/>
    </xf>
    <xf numFmtId="176" fontId="0" fillId="0" borderId="0" xfId="58" applyAlignment="1" applyProtection="1">
      <alignment horizontal="center" vertical="center"/>
      <protection locked="0"/>
    </xf>
    <xf numFmtId="176" fontId="0" fillId="0" borderId="0" xfId="58" applyAlignment="1" applyProtection="1">
      <alignment horizontal="center" vertical="center"/>
    </xf>
    <xf numFmtId="176" fontId="0" fillId="0" borderId="0" xfId="58" applyAlignment="1">
      <alignment horizontal="center" vertical="center"/>
    </xf>
    <xf numFmtId="2" fontId="53" fillId="22" borderId="2" xfId="58" applyNumberFormat="1" applyFont="1" applyFill="1" applyBorder="1" applyAlignment="1" applyProtection="1">
      <alignment horizontal="center" vertical="center"/>
      <protection hidden="1"/>
    </xf>
    <xf numFmtId="2" fontId="19" fillId="12" borderId="7" xfId="58" applyNumberFormat="1" applyFont="1" applyFill="1" applyBorder="1" applyAlignment="1" applyProtection="1">
      <alignment horizontal="center" vertical="center" wrapText="1"/>
      <protection hidden="1"/>
    </xf>
    <xf numFmtId="2" fontId="17" fillId="12" borderId="7" xfId="58" applyNumberFormat="1" applyFont="1" applyFill="1" applyBorder="1" applyAlignment="1" applyProtection="1">
      <alignment horizontal="center" vertical="center" wrapText="1"/>
      <protection hidden="1"/>
    </xf>
    <xf numFmtId="1" fontId="7" fillId="0" borderId="7" xfId="58" applyNumberFormat="1" applyFont="1" applyBorder="1" applyAlignment="1" applyProtection="1">
      <alignment horizontal="center" vertical="center"/>
      <protection hidden="1"/>
    </xf>
    <xf numFmtId="190" fontId="7" fillId="0" borderId="7" xfId="1" applyNumberFormat="1" applyFont="1" applyBorder="1" applyAlignment="1" applyProtection="1">
      <alignment horizontal="center" vertical="center"/>
      <protection hidden="1"/>
    </xf>
    <xf numFmtId="2" fontId="7" fillId="0" borderId="7" xfId="58" applyNumberFormat="1" applyFont="1" applyBorder="1" applyAlignment="1" applyProtection="1">
      <alignment horizontal="center" vertical="center"/>
      <protection locked="0" hidden="1"/>
    </xf>
    <xf numFmtId="190" fontId="17" fillId="13" borderId="7" xfId="1" applyNumberFormat="1" applyFont="1" applyFill="1" applyBorder="1" applyAlignment="1" applyProtection="1">
      <alignment horizontal="center" vertical="center"/>
      <protection locked="0" hidden="1"/>
    </xf>
    <xf numFmtId="1" fontId="7" fillId="12" borderId="7" xfId="58" applyNumberFormat="1" applyFont="1" applyFill="1" applyBorder="1" applyAlignment="1" applyProtection="1">
      <alignment horizontal="center" vertical="center"/>
      <protection hidden="1"/>
    </xf>
    <xf numFmtId="190" fontId="17" fillId="13" borderId="7" xfId="1" applyNumberFormat="1" applyFont="1" applyFill="1" applyBorder="1" applyAlignment="1" applyProtection="1">
      <alignment horizontal="center" vertical="center"/>
      <protection hidden="1"/>
    </xf>
    <xf numFmtId="2" fontId="17" fillId="12" borderId="7" xfId="58" applyNumberFormat="1" applyFont="1" applyFill="1" applyBorder="1" applyAlignment="1" applyProtection="1">
      <alignment horizontal="center" vertical="center"/>
      <protection locked="0" hidden="1"/>
    </xf>
    <xf numFmtId="190" fontId="7" fillId="12" borderId="7" xfId="1" applyNumberFormat="1" applyFont="1" applyFill="1" applyBorder="1" applyAlignment="1" applyProtection="1">
      <alignment horizontal="center" vertical="center"/>
      <protection hidden="1"/>
    </xf>
    <xf numFmtId="190" fontId="17" fillId="12" borderId="7" xfId="1" applyNumberFormat="1" applyFont="1" applyFill="1" applyBorder="1" applyAlignment="1" applyProtection="1">
      <alignment horizontal="center" vertical="center"/>
      <protection hidden="1"/>
    </xf>
    <xf numFmtId="2" fontId="0" fillId="0" borderId="1" xfId="58" applyNumberFormat="1" applyFont="1" applyBorder="1" applyAlignment="1" applyProtection="1">
      <alignment horizontal="left" vertical="center" wrapText="1"/>
      <protection hidden="1"/>
    </xf>
    <xf numFmtId="176" fontId="54" fillId="0" borderId="0" xfId="6" applyFill="1" applyAlignment="1" applyProtection="1">
      <alignment horizontal="center" vertical="center"/>
      <protection locked="0"/>
    </xf>
    <xf numFmtId="2" fontId="19" fillId="12" borderId="7" xfId="62" applyNumberFormat="1" applyFont="1" applyFill="1" applyBorder="1" applyAlignment="1" applyProtection="1">
      <alignment horizontal="center" vertical="center" wrapText="1"/>
      <protection hidden="1"/>
    </xf>
    <xf numFmtId="176" fontId="55" fillId="4" borderId="37" xfId="58" applyFont="1" applyFill="1" applyBorder="1" applyAlignment="1" applyProtection="1">
      <alignment horizontal="center" vertical="center" wrapText="1"/>
      <protection locked="0"/>
    </xf>
    <xf numFmtId="176" fontId="0" fillId="0" borderId="0" xfId="58" applyAlignment="1" applyProtection="1">
      <alignment horizontal="center" vertical="center" wrapText="1"/>
    </xf>
    <xf numFmtId="2" fontId="7" fillId="0" borderId="7" xfId="52" applyNumberFormat="1" applyFont="1" applyBorder="1" applyAlignment="1" applyProtection="1">
      <alignment horizontal="center" vertical="center"/>
      <protection hidden="1"/>
    </xf>
    <xf numFmtId="185" fontId="7" fillId="0" borderId="7" xfId="3" applyNumberFormat="1" applyFont="1" applyBorder="1" applyAlignment="1" applyProtection="1">
      <alignment horizontal="center" vertical="center"/>
      <protection hidden="1"/>
    </xf>
    <xf numFmtId="176" fontId="0" fillId="4" borderId="31" xfId="58" applyFill="1" applyBorder="1" applyAlignment="1" applyProtection="1">
      <alignment horizontal="center" vertical="center"/>
      <protection locked="0"/>
    </xf>
    <xf numFmtId="176" fontId="56" fillId="4" borderId="31" xfId="58" applyFont="1" applyFill="1" applyBorder="1" applyAlignment="1" applyProtection="1">
      <alignment horizontal="center" vertical="center"/>
      <protection locked="0"/>
    </xf>
    <xf numFmtId="2" fontId="7" fillId="12" borderId="7" xfId="52" applyNumberFormat="1" applyFont="1" applyFill="1" applyBorder="1" applyAlignment="1" applyProtection="1">
      <alignment horizontal="center" vertical="center"/>
      <protection hidden="1"/>
    </xf>
    <xf numFmtId="185" fontId="7" fillId="12" borderId="7" xfId="3" applyNumberFormat="1" applyFont="1" applyFill="1" applyBorder="1" applyAlignment="1" applyProtection="1">
      <alignment horizontal="center" vertical="center"/>
      <protection hidden="1"/>
    </xf>
    <xf numFmtId="192" fontId="55" fillId="8" borderId="31" xfId="52" applyNumberFormat="1" applyFont="1" applyFill="1" applyBorder="1" applyAlignment="1" applyProtection="1">
      <alignment horizontal="center" vertical="center"/>
      <protection locked="0"/>
    </xf>
    <xf numFmtId="176" fontId="55" fillId="4" borderId="31" xfId="58" applyFont="1" applyFill="1" applyBorder="1" applyAlignment="1" applyProtection="1">
      <alignment horizontal="center" vertical="center"/>
      <protection locked="0"/>
    </xf>
    <xf numFmtId="192" fontId="0" fillId="0" borderId="0" xfId="58" applyNumberFormat="1" applyAlignment="1" applyProtection="1">
      <alignment horizontal="center" vertical="center"/>
    </xf>
    <xf numFmtId="43" fontId="55" fillId="12" borderId="32" xfId="52" applyFont="1" applyFill="1" applyBorder="1" applyAlignment="1" applyProtection="1">
      <alignment horizontal="center" vertical="center"/>
      <protection locked="0"/>
    </xf>
    <xf numFmtId="176" fontId="0" fillId="0" borderId="0" xfId="58" applyFill="1" applyAlignment="1" applyProtection="1">
      <alignment horizontal="center" vertical="center"/>
      <protection locked="0"/>
    </xf>
    <xf numFmtId="176" fontId="0" fillId="0" borderId="0" xfId="58" applyBorder="1" applyAlignment="1" applyProtection="1">
      <alignment horizontal="center" vertical="center"/>
      <protection locked="0"/>
    </xf>
    <xf numFmtId="176" fontId="0" fillId="0" borderId="0" xfId="58" applyBorder="1" applyAlignment="1" applyProtection="1">
      <alignment horizontal="center" vertical="center"/>
    </xf>
    <xf numFmtId="176" fontId="0" fillId="0" borderId="0" xfId="58" applyBorder="1" applyAlignment="1">
      <alignment horizontal="center" vertical="center"/>
    </xf>
    <xf numFmtId="190" fontId="0" fillId="0" borderId="0" xfId="58" applyNumberFormat="1" applyFill="1" applyBorder="1" applyAlignment="1" applyProtection="1">
      <alignment horizontal="center" vertical="center"/>
      <protection locked="0"/>
    </xf>
    <xf numFmtId="192" fontId="0" fillId="0" borderId="0" xfId="58" applyNumberFormat="1" applyBorder="1" applyAlignment="1" applyProtection="1">
      <alignment horizontal="center" vertical="center"/>
    </xf>
    <xf numFmtId="43" fontId="55" fillId="0" borderId="0" xfId="52" applyFont="1" applyFill="1" applyBorder="1" applyAlignment="1" applyProtection="1">
      <alignment horizontal="center" vertical="center"/>
      <protection locked="0"/>
    </xf>
    <xf numFmtId="176" fontId="0" fillId="0" borderId="0" xfId="58" applyFill="1" applyBorder="1" applyAlignment="1" applyProtection="1">
      <alignment horizontal="center" vertical="center"/>
      <protection locked="0"/>
    </xf>
    <xf numFmtId="176" fontId="46" fillId="0" borderId="4" xfId="0" applyFont="1" applyFill="1" applyBorder="1" applyAlignment="1">
      <alignment horizontal="center" vertical="center" wrapText="1"/>
    </xf>
    <xf numFmtId="176" fontId="43" fillId="0" borderId="24" xfId="0" applyFont="1" applyFill="1" applyBorder="1" applyAlignment="1">
      <alignment horizontal="center" vertical="center" wrapText="1"/>
    </xf>
    <xf numFmtId="176" fontId="43" fillId="0" borderId="25" xfId="0" applyFont="1" applyFill="1" applyBorder="1" applyAlignment="1" applyProtection="1">
      <alignment horizontal="center" vertical="center" wrapText="1"/>
      <protection locked="0"/>
    </xf>
    <xf numFmtId="176" fontId="42" fillId="0" borderId="0" xfId="0" applyFont="1" applyFill="1" applyAlignment="1">
      <alignment vertical="center" wrapText="1"/>
    </xf>
    <xf numFmtId="10" fontId="44" fillId="20" borderId="7" xfId="3" applyNumberFormat="1" applyFont="1" applyFill="1" applyBorder="1" applyAlignment="1" applyProtection="1">
      <alignment horizontal="center" vertical="center" shrinkToFit="1"/>
      <protection locked="0"/>
    </xf>
    <xf numFmtId="3" fontId="44" fillId="0" borderId="25" xfId="57" applyNumberFormat="1" applyFont="1" applyFill="1" applyBorder="1" applyAlignment="1" applyProtection="1">
      <alignment vertical="center" wrapText="1"/>
      <protection locked="0"/>
    </xf>
    <xf numFmtId="10" fontId="44" fillId="0" borderId="25" xfId="57" applyNumberFormat="1" applyFont="1" applyFill="1" applyBorder="1" applyAlignment="1" applyProtection="1">
      <alignment horizontal="center" vertical="center" wrapText="1"/>
      <protection locked="0"/>
    </xf>
    <xf numFmtId="203" fontId="44" fillId="0" borderId="7" xfId="3" applyNumberFormat="1" applyFont="1" applyFill="1" applyBorder="1" applyAlignment="1" applyProtection="1">
      <alignment horizontal="center" vertical="center" shrinkToFit="1"/>
      <protection locked="0"/>
    </xf>
    <xf numFmtId="194" fontId="44" fillId="0" borderId="7" xfId="57" applyNumberFormat="1" applyFont="1" applyFill="1" applyBorder="1" applyAlignment="1">
      <alignment horizontal="center" vertical="center" wrapText="1"/>
    </xf>
    <xf numFmtId="176" fontId="43" fillId="0" borderId="25" xfId="57" applyFont="1" applyFill="1" applyBorder="1" applyAlignment="1">
      <alignment horizontal="center" vertical="center" wrapText="1"/>
    </xf>
    <xf numFmtId="176" fontId="46" fillId="0" borderId="6" xfId="57" applyFont="1" applyFill="1" applyBorder="1" applyAlignment="1">
      <alignment horizontal="center" vertical="center" wrapText="1"/>
    </xf>
    <xf numFmtId="176" fontId="43" fillId="0" borderId="7" xfId="57" applyFont="1" applyFill="1" applyBorder="1" applyAlignment="1">
      <alignment horizontal="center" vertical="center" wrapText="1"/>
    </xf>
    <xf numFmtId="203" fontId="44" fillId="0" borderId="25" xfId="0" applyNumberFormat="1" applyFont="1" applyFill="1" applyBorder="1" applyAlignment="1" applyProtection="1">
      <alignment horizontal="center" vertical="center" shrinkToFit="1"/>
      <protection locked="0"/>
    </xf>
    <xf numFmtId="4" fontId="44" fillId="0" borderId="25" xfId="57" applyNumberFormat="1" applyFont="1" applyFill="1" applyBorder="1" applyAlignment="1" applyProtection="1">
      <alignment horizontal="center" vertical="center" shrinkToFit="1"/>
      <protection locked="0"/>
    </xf>
    <xf numFmtId="203" fontId="48" fillId="0" borderId="7" xfId="114" applyNumberFormat="1" applyFont="1" applyFill="1" applyBorder="1" applyAlignment="1" applyProtection="1">
      <alignment horizontal="center" vertical="center" shrinkToFit="1"/>
      <protection locked="0"/>
    </xf>
    <xf numFmtId="176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176" fontId="44" fillId="0" borderId="25" xfId="0" applyFont="1" applyFill="1" applyBorder="1" applyAlignment="1" applyProtection="1">
      <alignment horizontal="center" vertical="center" wrapText="1"/>
      <protection locked="0"/>
    </xf>
    <xf numFmtId="2" fontId="48" fillId="0" borderId="7" xfId="0" applyNumberFormat="1" applyFont="1" applyFill="1" applyBorder="1" applyAlignment="1" applyProtection="1">
      <alignment horizontal="center" vertical="center" shrinkToFit="1"/>
    </xf>
    <xf numFmtId="204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3" fillId="0" borderId="25" xfId="57" applyNumberFormat="1" applyFont="1" applyFill="1" applyBorder="1" applyAlignment="1" applyProtection="1">
      <alignment horizontal="center" vertical="center" wrapText="1"/>
      <protection locked="0"/>
    </xf>
    <xf numFmtId="9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176" fontId="44" fillId="0" borderId="25" xfId="0" applyFont="1" applyFill="1" applyBorder="1" applyAlignment="1" applyProtection="1">
      <alignment vertical="center" wrapText="1"/>
      <protection locked="0"/>
    </xf>
    <xf numFmtId="4" fontId="43" fillId="0" borderId="48" xfId="0" applyNumberFormat="1" applyFont="1" applyFill="1" applyBorder="1" applyAlignment="1">
      <alignment horizontal="center" vertical="center" wrapText="1"/>
    </xf>
    <xf numFmtId="4" fontId="43" fillId="0" borderId="49" xfId="0" applyNumberFormat="1" applyFont="1" applyFill="1" applyBorder="1" applyAlignment="1">
      <alignment horizontal="center" vertical="center" wrapText="1"/>
    </xf>
    <xf numFmtId="4" fontId="43" fillId="0" borderId="29" xfId="0" applyNumberFormat="1" applyFont="1" applyFill="1" applyBorder="1" applyAlignment="1">
      <alignment horizontal="center" vertical="center" wrapText="1"/>
    </xf>
    <xf numFmtId="209" fontId="43" fillId="0" borderId="11" xfId="1" applyNumberFormat="1" applyFont="1" applyFill="1" applyBorder="1" applyAlignment="1" applyProtection="1">
      <alignment horizontal="center" vertical="center" shrinkToFit="1"/>
      <protection locked="0"/>
    </xf>
    <xf numFmtId="185" fontId="44" fillId="0" borderId="27" xfId="72" applyNumberFormat="1" applyFont="1" applyFill="1" applyBorder="1" applyAlignment="1" applyProtection="1">
      <alignment horizontal="center" vertical="center" wrapText="1"/>
      <protection locked="0"/>
    </xf>
    <xf numFmtId="176" fontId="44" fillId="0" borderId="41" xfId="0" applyFont="1" applyFill="1" applyBorder="1" applyAlignment="1">
      <alignment horizontal="left" vertical="center" wrapText="1"/>
    </xf>
    <xf numFmtId="176" fontId="44" fillId="0" borderId="25" xfId="0" applyFont="1" applyFill="1" applyBorder="1" applyAlignment="1" applyProtection="1" quotePrefix="1">
      <alignment horizontal="center" vertical="center" wrapText="1" shrinkToFit="1"/>
      <protection locked="0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_model 24-10-2006_Noah - Forecast to 2012(Revised)" xfId="49"/>
    <cellStyle name="一般 8 2" xfId="50"/>
    <cellStyle name="一般 8" xfId="51"/>
    <cellStyle name="千位分隔 4" xfId="52"/>
    <cellStyle name="千位分隔 3" xfId="53"/>
    <cellStyle name="千位分隔 2" xfId="54"/>
    <cellStyle name="千分位 2 2" xfId="55"/>
    <cellStyle name="桁区切り [0.00] 2" xfId="56"/>
    <cellStyle name="常规_Tianjin Solar Farm 0405 2008" xfId="57"/>
    <cellStyle name="常规 5" xfId="58"/>
    <cellStyle name="差_Open-position-form of TD" xfId="59"/>
    <cellStyle name="標準 3" xfId="60"/>
    <cellStyle name="標準 2" xfId="61"/>
    <cellStyle name="百分比 4" xfId="62"/>
    <cellStyle name="百分比 3" xfId="63"/>
    <cellStyle name="Percent [2]" xfId="64"/>
    <cellStyle name="Normal 9" xfId="65"/>
    <cellStyle name="Normal - Style1" xfId="66"/>
    <cellStyle name="Normal 6" xfId="67"/>
    <cellStyle name="Normal 5" xfId="68"/>
    <cellStyle name="百分比 2" xfId="69"/>
    <cellStyle name="Normal 3 2 3" xfId="70"/>
    <cellStyle name="Normal 3 2" xfId="71"/>
    <cellStyle name="Normal 2 2" xfId="72"/>
    <cellStyle name="Normal 2 3" xfId="73"/>
    <cellStyle name="Comma 2 2 2" xfId="74"/>
    <cellStyle name="Mon閠aire_pldt" xfId="75"/>
    <cellStyle name="Comma 3" xfId="76"/>
    <cellStyle name="Mon閠aire [0]_pldt" xfId="77"/>
    <cellStyle name="Decimal_0dp 2" xfId="78"/>
    <cellStyle name="Normal 3 2 2" xfId="79"/>
    <cellStyle name="Currency,2" xfId="80"/>
    <cellStyle name="Comma,2" xfId="81"/>
    <cellStyle name="Comma 4 3" xfId="82"/>
    <cellStyle name="Percent 2 2" xfId="83"/>
    <cellStyle name="Comma 4" xfId="84"/>
    <cellStyle name="Comma 2" xfId="85"/>
    <cellStyle name="Euro" xfId="86"/>
    <cellStyle name="Col Heads" xfId="87"/>
    <cellStyle name="Normal 7" xfId="88"/>
    <cellStyle name="Normal 4 2" xfId="89"/>
    <cellStyle name="Percent 2 3" xfId="90"/>
    <cellStyle name="Grey" xfId="91"/>
    <cellStyle name="千分位 8" xfId="92"/>
    <cellStyle name="0.0%" xfId="93"/>
    <cellStyle name="Input [yellow]" xfId="94"/>
    <cellStyle name="0%" xfId="95"/>
    <cellStyle name="Percent 4" xfId="96"/>
    <cellStyle name="桁区切り 2" xfId="97"/>
    <cellStyle name="Normal_discount rate calculation" xfId="98"/>
    <cellStyle name="常规 3" xfId="99"/>
    <cellStyle name="Comma 5" xfId="100"/>
    <cellStyle name="Comma 2 3" xfId="101"/>
    <cellStyle name="0.00%" xfId="102"/>
    <cellStyle name="百分比 9" xfId="103"/>
    <cellStyle name="好_Open-position-form of TD" xfId="104"/>
    <cellStyle name="Normal 3" xfId="105"/>
    <cellStyle name="常规 4" xfId="106"/>
    <cellStyle name="Comma 2 2" xfId="107"/>
    <cellStyle name="Normal 2 2 2" xfId="108"/>
    <cellStyle name="百分比 6 2" xfId="109"/>
    <cellStyle name="一般 11" xfId="110"/>
    <cellStyle name="Percent 2" xfId="111"/>
    <cellStyle name="Comma,0" xfId="112"/>
    <cellStyle name="Normal 4" xfId="113"/>
    <cellStyle name="常规 2" xfId="114"/>
    <cellStyle name="Currency,0" xfId="115"/>
    <cellStyle name="Comma_discount rate calculation" xfId="116"/>
    <cellStyle name="Normal 2" xfId="117"/>
    <cellStyle name="Comma,1" xfId="118"/>
  </cellStyles>
  <tableStyles count="0" defaultTableStyle="TableStyleMedium9"/>
  <colors>
    <mruColors>
      <color rgb="00FFFF99"/>
      <color rgb="00E45D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Scroll" dx="16" fmlaLink="$N$5" horiz="1" max="91" min="1" page="10" val="67"/>
</file>

<file path=xl/ctrlProps/ctrlProp2.xml><?xml version="1.0" encoding="utf-8"?>
<formControlPr xmlns="http://schemas.microsoft.com/office/spreadsheetml/2009/9/main" objectType="Scroll" dx="16" fmlaLink="$N$10" horiz="1" max="56" min="1" page="10" val="36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</xdr:row>
          <xdr:rowOff>57150</xdr:rowOff>
        </xdr:from>
        <xdr:to>
          <xdr:col>13</xdr:col>
          <xdr:colOff>847725</xdr:colOff>
          <xdr:row>4</xdr:row>
          <xdr:rowOff>0</xdr:rowOff>
        </xdr:to>
        <xdr:sp>
          <xdr:nvSpPr>
            <xdr:cNvPr id="2049" name="Scroll Ba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0713085" y="942975"/>
              <a:ext cx="742950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</xdr:row>
          <xdr:rowOff>57150</xdr:rowOff>
        </xdr:from>
        <xdr:to>
          <xdr:col>13</xdr:col>
          <xdr:colOff>847725</xdr:colOff>
          <xdr:row>9</xdr:row>
          <xdr:rowOff>0</xdr:rowOff>
        </xdr:to>
        <xdr:sp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713085" y="1838325"/>
              <a:ext cx="742950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37</xdr:col>
      <xdr:colOff>114301</xdr:colOff>
      <xdr:row>35</xdr:row>
      <xdr:rowOff>304799</xdr:rowOff>
    </xdr:from>
    <xdr:to>
      <xdr:col>37</xdr:col>
      <xdr:colOff>914401</xdr:colOff>
      <xdr:row>37</xdr:row>
      <xdr:rowOff>57150</xdr:rowOff>
    </xdr:to>
    <xdr:sp>
      <xdr:nvSpPr>
        <xdr:cNvPr id="2" name="文本框 1"/>
        <xdr:cNvSpPr txBox="1"/>
      </xdr:nvSpPr>
      <xdr:spPr>
        <a:xfrm>
          <a:off x="9777730" y="13401675"/>
          <a:ext cx="0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按年支出其他费用</a:t>
          </a:r>
          <a:endParaRPr lang="zh-CN" altLang="en-US" sz="1100"/>
        </a:p>
      </xdr:txBody>
    </xdr:sp>
    <xdr:clientData/>
  </xdr:twoCellAnchor>
  <xdr:twoCellAnchor>
    <xdr:from>
      <xdr:col>32</xdr:col>
      <xdr:colOff>962025</xdr:colOff>
      <xdr:row>64</xdr:row>
      <xdr:rowOff>19050</xdr:rowOff>
    </xdr:from>
    <xdr:to>
      <xdr:col>36</xdr:col>
      <xdr:colOff>85725</xdr:colOff>
      <xdr:row>64</xdr:row>
      <xdr:rowOff>285750</xdr:rowOff>
    </xdr:to>
    <xdr:sp>
      <xdr:nvSpPr>
        <xdr:cNvPr id="3" name="文本框 2"/>
        <xdr:cNvSpPr txBox="1"/>
      </xdr:nvSpPr>
      <xdr:spPr>
        <a:xfrm>
          <a:off x="9777730" y="23410545"/>
          <a:ext cx="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地租支付</a:t>
          </a:r>
          <a:endParaRPr lang="zh-CN" altLang="en-US" sz="1100"/>
        </a:p>
      </xdr:txBody>
    </xdr:sp>
    <xdr:clientData/>
  </xdr:twoCellAnchor>
  <xdr:twoCellAnchor>
    <xdr:from>
      <xdr:col>33</xdr:col>
      <xdr:colOff>0</xdr:colOff>
      <xdr:row>36</xdr:row>
      <xdr:rowOff>19050</xdr:rowOff>
    </xdr:from>
    <xdr:to>
      <xdr:col>36</xdr:col>
      <xdr:colOff>95250</xdr:colOff>
      <xdr:row>36</xdr:row>
      <xdr:rowOff>285750</xdr:rowOff>
    </xdr:to>
    <xdr:sp>
      <xdr:nvSpPr>
        <xdr:cNvPr id="4" name="文本框 3"/>
        <xdr:cNvSpPr txBox="1"/>
      </xdr:nvSpPr>
      <xdr:spPr>
        <a:xfrm>
          <a:off x="9777730" y="13471525"/>
          <a:ext cx="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土地租金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opLeftCell="A7" workbookViewId="0">
      <selection activeCell="B6" sqref="B6"/>
    </sheetView>
  </sheetViews>
  <sheetFormatPr defaultColWidth="9.12612612612613" defaultRowHeight="14.1"/>
  <cols>
    <col min="1" max="1" width="21.8738738738739" style="329" customWidth="1"/>
    <col min="2" max="2" width="15.8738738738739" style="337" customWidth="1"/>
    <col min="3" max="3" width="11.2522522522523" style="337" customWidth="1"/>
    <col min="4" max="6" width="9.12612612612613" style="337"/>
    <col min="7" max="7" width="23.6216216216216" style="337" customWidth="1"/>
    <col min="8" max="16384" width="9.12612612612613" style="337"/>
  </cols>
  <sheetData>
    <row r="1" ht="23.45" spans="1:5">
      <c r="A1" s="339" t="s">
        <v>0</v>
      </c>
      <c r="B1" s="339"/>
      <c r="C1" s="339"/>
      <c r="D1" s="447"/>
      <c r="E1" s="447"/>
    </row>
    <row r="2" spans="1:5">
      <c r="A2" s="516" t="s">
        <v>1</v>
      </c>
      <c r="B2" s="342"/>
      <c r="C2" s="517"/>
      <c r="D2" s="449"/>
      <c r="E2" s="449"/>
    </row>
    <row r="3" spans="1:6">
      <c r="A3" s="398" t="s">
        <v>2</v>
      </c>
      <c r="B3" s="392" t="s">
        <v>3</v>
      </c>
      <c r="C3" s="518"/>
      <c r="F3" s="519"/>
    </row>
    <row r="4" ht="25.7" spans="1:7">
      <c r="A4" s="335" t="s">
        <v>4</v>
      </c>
      <c r="B4" s="520">
        <f>Assump!B4</f>
        <v>0.090639233114495</v>
      </c>
      <c r="C4" s="521"/>
      <c r="F4" s="519"/>
      <c r="G4" s="451"/>
    </row>
    <row r="5" spans="1:7">
      <c r="A5" s="335" t="s">
        <v>5</v>
      </c>
      <c r="B5" s="520">
        <f>Assump!B5</f>
        <v>0.157133171347432</v>
      </c>
      <c r="C5" s="522"/>
      <c r="F5" s="519"/>
      <c r="G5" s="451"/>
    </row>
    <row r="6" spans="1:6">
      <c r="A6" s="335" t="s">
        <v>6</v>
      </c>
      <c r="B6" s="523">
        <f>Assump!B6</f>
        <v>43883586.6976307</v>
      </c>
      <c r="C6" s="522"/>
      <c r="F6" s="519"/>
    </row>
    <row r="7" ht="14.25" customHeight="1" spans="1:6">
      <c r="A7" s="359" t="s">
        <v>7</v>
      </c>
      <c r="B7" s="524">
        <f>Assump!H46</f>
        <v>7.34757826479322</v>
      </c>
      <c r="C7" s="525"/>
      <c r="F7" s="519"/>
    </row>
    <row r="8" ht="14.25" customHeight="1" spans="1:6">
      <c r="A8" s="359" t="s">
        <v>8</v>
      </c>
      <c r="B8" s="524">
        <f>Assump!H47</f>
        <v>4.67535742943973</v>
      </c>
      <c r="C8" s="525"/>
      <c r="F8" s="519"/>
    </row>
    <row r="9" ht="14.25" customHeight="1" spans="1:6">
      <c r="A9" s="526" t="s">
        <v>9</v>
      </c>
      <c r="B9" s="527"/>
      <c r="C9" s="525"/>
      <c r="F9" s="519"/>
    </row>
    <row r="10" ht="14.25" customHeight="1" spans="1:6">
      <c r="A10" s="335" t="s">
        <v>10</v>
      </c>
      <c r="B10" s="361">
        <f>Assump!B9</f>
        <v>3000</v>
      </c>
      <c r="C10" s="528"/>
      <c r="D10" s="460"/>
      <c r="E10" s="460"/>
      <c r="F10" s="519"/>
    </row>
    <row r="11" spans="1:6">
      <c r="A11" s="335" t="s">
        <v>11</v>
      </c>
      <c r="B11" s="361">
        <f>Assump!B10</f>
        <v>100</v>
      </c>
      <c r="C11" s="529"/>
      <c r="D11" s="460"/>
      <c r="E11" s="460"/>
      <c r="F11" s="519"/>
    </row>
    <row r="12" ht="23.25" customHeight="1" spans="1:5">
      <c r="A12" s="334" t="s">
        <v>12</v>
      </c>
      <c r="B12" s="527"/>
      <c r="C12" s="525"/>
      <c r="D12" s="460"/>
      <c r="E12" s="460"/>
    </row>
    <row r="13" ht="25.3" spans="1:5">
      <c r="A13" s="335" t="s">
        <v>13</v>
      </c>
      <c r="B13" s="530">
        <f>Assump!B20</f>
        <v>1679</v>
      </c>
      <c r="C13" s="531"/>
      <c r="D13" s="460"/>
      <c r="E13" s="460"/>
    </row>
    <row r="14" spans="1:5">
      <c r="A14" s="335" t="s">
        <v>14</v>
      </c>
      <c r="B14" s="354">
        <v>20</v>
      </c>
      <c r="C14" s="532"/>
      <c r="D14" s="460"/>
      <c r="E14" s="460"/>
    </row>
    <row r="15" spans="1:5">
      <c r="A15" s="335" t="s">
        <v>15</v>
      </c>
      <c r="B15" s="369">
        <v>0.05</v>
      </c>
      <c r="C15" s="532"/>
      <c r="D15" s="460"/>
      <c r="E15" s="460"/>
    </row>
    <row r="16" spans="1:5">
      <c r="A16" s="334" t="s">
        <v>16</v>
      </c>
      <c r="B16" s="527"/>
      <c r="C16" s="525"/>
      <c r="D16" s="460"/>
      <c r="E16" s="460"/>
    </row>
    <row r="17" ht="33" customHeight="1" spans="1:3">
      <c r="A17" s="335" t="s">
        <v>17</v>
      </c>
      <c r="B17" s="533">
        <f>Assump!B35</f>
        <v>6.87086625</v>
      </c>
      <c r="C17" s="534"/>
    </row>
    <row r="18" ht="20.1" customHeight="1" spans="1:5">
      <c r="A18" s="335" t="s">
        <v>18</v>
      </c>
      <c r="B18" s="412">
        <f>Assump!B38</f>
        <v>687086625</v>
      </c>
      <c r="C18" s="535"/>
      <c r="D18" s="449"/>
      <c r="E18" s="449"/>
    </row>
    <row r="19" ht="20.1" customHeight="1" spans="1:3">
      <c r="A19" s="335" t="s">
        <v>19</v>
      </c>
      <c r="B19" s="412">
        <f>Assump!B39</f>
        <v>206125987.5</v>
      </c>
      <c r="C19" s="536">
        <f>Assump!C39</f>
        <v>0.3</v>
      </c>
    </row>
    <row r="20" ht="20.1" customHeight="1" spans="1:15">
      <c r="A20" s="335" t="s">
        <v>20</v>
      </c>
      <c r="B20" s="412">
        <f>Assump!B40</f>
        <v>480960637.5</v>
      </c>
      <c r="C20" s="536">
        <f>1-C19</f>
        <v>0.7</v>
      </c>
      <c r="O20" s="460"/>
    </row>
    <row r="21" ht="20.1" customHeight="1" spans="1:3">
      <c r="A21" s="335" t="s">
        <v>21</v>
      </c>
      <c r="B21" s="378">
        <f>Assump!B41</f>
        <v>0.065</v>
      </c>
      <c r="C21" s="532"/>
    </row>
    <row r="22" ht="20.1" customHeight="1" spans="1:3">
      <c r="A22" s="335" t="s">
        <v>22</v>
      </c>
      <c r="B22" s="412">
        <f>Assump!B42</f>
        <v>15</v>
      </c>
      <c r="C22" s="537"/>
    </row>
    <row r="23" ht="21" customHeight="1" spans="1:3">
      <c r="A23" s="538" t="s">
        <v>23</v>
      </c>
      <c r="B23" s="539"/>
      <c r="C23" s="540"/>
    </row>
    <row r="24" ht="14.9" spans="1:3">
      <c r="A24" s="439" t="s">
        <v>24</v>
      </c>
      <c r="B24" s="541">
        <f>Assump!B50</f>
        <v>8900000</v>
      </c>
      <c r="C24" s="542"/>
    </row>
    <row r="25" ht="30" customHeight="1" spans="1:3">
      <c r="A25" s="543" t="s">
        <v>25</v>
      </c>
      <c r="B25" s="543"/>
      <c r="C25" s="543"/>
    </row>
    <row r="35" spans="3:3">
      <c r="C35" s="474"/>
    </row>
  </sheetData>
  <sheetProtection formatCells="0" insertHyperlinks="0" autoFilter="0"/>
  <mergeCells count="7">
    <mergeCell ref="A1:C1"/>
    <mergeCell ref="A2:C2"/>
    <mergeCell ref="A9:C9"/>
    <mergeCell ref="A12:C12"/>
    <mergeCell ref="A16:C16"/>
    <mergeCell ref="A23:C23"/>
    <mergeCell ref="A25:C25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zoomScale="90" zoomScaleNormal="90" topLeftCell="A13" workbookViewId="0">
      <selection activeCell="A5" sqref="$A5:$XFD5"/>
    </sheetView>
  </sheetViews>
  <sheetFormatPr defaultColWidth="22.2522522522523" defaultRowHeight="14.1"/>
  <cols>
    <col min="1" max="1" width="9.62162162162162" style="476" customWidth="1"/>
    <col min="2" max="2" width="13.6216216216216" style="476" customWidth="1"/>
    <col min="3" max="3" width="12" style="476" customWidth="1"/>
    <col min="4" max="4" width="12.7477477477477" style="476" customWidth="1"/>
    <col min="5" max="5" width="14.1261261261261" style="476" customWidth="1"/>
    <col min="6" max="6" width="14.2522522522523" style="476" customWidth="1"/>
    <col min="7" max="7" width="12.3783783783784" style="476" customWidth="1"/>
    <col min="8" max="8" width="11.5045045045045" style="476" customWidth="1"/>
    <col min="9" max="9" width="11.3783783783784" style="476" customWidth="1"/>
    <col min="10" max="10" width="12.6216216216216" style="476" customWidth="1"/>
    <col min="11" max="11" width="8" style="477" customWidth="1"/>
    <col min="12" max="12" width="10.1261261261261" style="477" customWidth="1"/>
    <col min="13" max="13" width="8.12612612612613" style="477" customWidth="1"/>
    <col min="14" max="14" width="22.2522522522523" style="478"/>
    <col min="15" max="15" width="15.3783783783784" style="479" customWidth="1"/>
    <col min="16" max="16384" width="22.2522522522523" style="480"/>
  </cols>
  <sheetData>
    <row r="1" ht="25.5" customHeight="1" spans="1:14">
      <c r="A1" s="481" t="s">
        <v>26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94"/>
    </row>
    <row r="2" s="475" customFormat="1" ht="44.25" customHeight="1" spans="1:15">
      <c r="A2" s="482" t="s">
        <v>27</v>
      </c>
      <c r="B2" s="482" t="s">
        <v>28</v>
      </c>
      <c r="C2" s="482" t="s">
        <v>29</v>
      </c>
      <c r="D2" s="482" t="s">
        <v>30</v>
      </c>
      <c r="E2" s="482" t="s">
        <v>31</v>
      </c>
      <c r="F2" s="483" t="s">
        <v>32</v>
      </c>
      <c r="G2" s="483" t="s">
        <v>33</v>
      </c>
      <c r="H2" s="483" t="s">
        <v>34</v>
      </c>
      <c r="I2" s="482" t="s">
        <v>35</v>
      </c>
      <c r="J2" s="482" t="s">
        <v>36</v>
      </c>
      <c r="K2" s="495" t="s">
        <v>37</v>
      </c>
      <c r="L2" s="495" t="s">
        <v>38</v>
      </c>
      <c r="M2" s="495" t="s">
        <v>39</v>
      </c>
      <c r="N2" s="496" t="s">
        <v>40</v>
      </c>
      <c r="O2" s="497"/>
    </row>
    <row r="3" spans="1:14">
      <c r="A3" s="484">
        <v>5</v>
      </c>
      <c r="B3" s="485">
        <v>200000</v>
      </c>
      <c r="C3" s="486">
        <v>4</v>
      </c>
      <c r="D3" s="487">
        <v>90000</v>
      </c>
      <c r="E3" s="485">
        <f>C3*D3</f>
        <v>360000</v>
      </c>
      <c r="F3" s="485">
        <f t="shared" ref="F3:F34" si="0">SUM(B3,E3)*1</f>
        <v>560000</v>
      </c>
      <c r="G3" s="485">
        <f t="shared" ref="G3:G34" si="1">F3*0.2</f>
        <v>112000</v>
      </c>
      <c r="H3" s="485">
        <f t="shared" ref="H3:H34" si="2">F3-G3</f>
        <v>448000</v>
      </c>
      <c r="I3" s="498">
        <f t="shared" ref="I3:I22" si="3">F3/A3/1000000</f>
        <v>0.112</v>
      </c>
      <c r="J3" s="485">
        <f t="shared" ref="J3:J34" si="4">$A3*$N$6*$N$11/1.17</f>
        <v>6393162.39316239</v>
      </c>
      <c r="K3" s="499">
        <f t="shared" ref="K3:K34" si="5">F3/J3</f>
        <v>0.0875935828877005</v>
      </c>
      <c r="L3" s="499">
        <f t="shared" ref="L3:L34" si="6">1-M3</f>
        <v>0.357142857142857</v>
      </c>
      <c r="M3" s="499">
        <f t="shared" ref="M3:M34" si="7">E3/F3</f>
        <v>0.642857142857143</v>
      </c>
      <c r="N3" s="500"/>
    </row>
    <row r="4" spans="1:14">
      <c r="A4" s="484">
        <v>10</v>
      </c>
      <c r="B4" s="485">
        <v>400000</v>
      </c>
      <c r="C4" s="486">
        <f>C3+2</f>
        <v>6</v>
      </c>
      <c r="D4" s="485">
        <f>D3</f>
        <v>90000</v>
      </c>
      <c r="E4" s="485">
        <f t="shared" ref="E4:E34" si="8">C4*D4</f>
        <v>540000</v>
      </c>
      <c r="F4" s="485">
        <f t="shared" si="0"/>
        <v>940000</v>
      </c>
      <c r="G4" s="485">
        <f t="shared" si="1"/>
        <v>188000</v>
      </c>
      <c r="H4" s="485">
        <f t="shared" si="2"/>
        <v>752000</v>
      </c>
      <c r="I4" s="498">
        <f t="shared" si="3"/>
        <v>0.094</v>
      </c>
      <c r="J4" s="485">
        <f t="shared" si="4"/>
        <v>12786324.7863248</v>
      </c>
      <c r="K4" s="499">
        <f t="shared" si="5"/>
        <v>0.0735160427807486</v>
      </c>
      <c r="L4" s="499">
        <f t="shared" si="6"/>
        <v>0.425531914893617</v>
      </c>
      <c r="M4" s="499">
        <f t="shared" si="7"/>
        <v>0.574468085106383</v>
      </c>
      <c r="N4" s="500"/>
    </row>
    <row r="5" spans="1:14">
      <c r="A5" s="484">
        <v>15</v>
      </c>
      <c r="B5" s="485">
        <v>500000</v>
      </c>
      <c r="C5" s="486">
        <f>C4+2</f>
        <v>8</v>
      </c>
      <c r="D5" s="485">
        <f t="shared" ref="D5:D34" si="9">D4</f>
        <v>90000</v>
      </c>
      <c r="E5" s="485">
        <f t="shared" si="8"/>
        <v>720000</v>
      </c>
      <c r="F5" s="485">
        <f t="shared" si="0"/>
        <v>1220000</v>
      </c>
      <c r="G5" s="485">
        <f t="shared" si="1"/>
        <v>244000</v>
      </c>
      <c r="H5" s="485">
        <f t="shared" si="2"/>
        <v>976000</v>
      </c>
      <c r="I5" s="498">
        <f t="shared" si="3"/>
        <v>0.0813333333333333</v>
      </c>
      <c r="J5" s="485">
        <f t="shared" si="4"/>
        <v>19179487.1794872</v>
      </c>
      <c r="K5" s="499">
        <f t="shared" si="5"/>
        <v>0.0636096256684492</v>
      </c>
      <c r="L5" s="499">
        <f t="shared" si="6"/>
        <v>0.409836065573771</v>
      </c>
      <c r="M5" s="499">
        <f t="shared" si="7"/>
        <v>0.590163934426229</v>
      </c>
      <c r="N5" s="501">
        <v>67</v>
      </c>
    </row>
    <row r="6" spans="1:14">
      <c r="A6" s="488">
        <v>20</v>
      </c>
      <c r="B6" s="489">
        <v>990000</v>
      </c>
      <c r="C6" s="490">
        <v>9</v>
      </c>
      <c r="D6" s="491">
        <f t="shared" si="9"/>
        <v>90000</v>
      </c>
      <c r="E6" s="491">
        <f t="shared" si="8"/>
        <v>810000</v>
      </c>
      <c r="F6" s="492">
        <f t="shared" si="0"/>
        <v>1800000</v>
      </c>
      <c r="G6" s="491">
        <f t="shared" si="1"/>
        <v>360000</v>
      </c>
      <c r="H6" s="491">
        <f t="shared" si="2"/>
        <v>1440000</v>
      </c>
      <c r="I6" s="502">
        <f t="shared" si="3"/>
        <v>0.09</v>
      </c>
      <c r="J6" s="491">
        <f t="shared" si="4"/>
        <v>25572649.5726496</v>
      </c>
      <c r="K6" s="503">
        <f t="shared" si="5"/>
        <v>0.0703877005347593</v>
      </c>
      <c r="L6" s="503">
        <f t="shared" si="6"/>
        <v>0.55</v>
      </c>
      <c r="M6" s="503">
        <f t="shared" si="7"/>
        <v>0.45</v>
      </c>
      <c r="N6" s="504">
        <f>N5*10000+690000</f>
        <v>1360000</v>
      </c>
    </row>
    <row r="7" spans="1:14">
      <c r="A7" s="484">
        <v>25</v>
      </c>
      <c r="B7" s="485">
        <f>(B10-B6)/(A10-A6)*(A7-A6)+B6</f>
        <v>1325000</v>
      </c>
      <c r="C7" s="486">
        <v>10</v>
      </c>
      <c r="D7" s="485">
        <f t="shared" si="9"/>
        <v>90000</v>
      </c>
      <c r="E7" s="485">
        <f t="shared" si="8"/>
        <v>900000</v>
      </c>
      <c r="F7" s="485">
        <f t="shared" si="0"/>
        <v>2225000</v>
      </c>
      <c r="G7" s="485">
        <f t="shared" si="1"/>
        <v>445000</v>
      </c>
      <c r="H7" s="485">
        <f t="shared" si="2"/>
        <v>1780000</v>
      </c>
      <c r="I7" s="498">
        <f t="shared" si="3"/>
        <v>0.089</v>
      </c>
      <c r="J7" s="485">
        <f t="shared" si="4"/>
        <v>31965811.965812</v>
      </c>
      <c r="K7" s="499">
        <f t="shared" si="5"/>
        <v>0.069605614973262</v>
      </c>
      <c r="L7" s="499">
        <f t="shared" si="6"/>
        <v>0.595505617977528</v>
      </c>
      <c r="M7" s="499">
        <f t="shared" si="7"/>
        <v>0.404494382022472</v>
      </c>
      <c r="N7" s="505" t="s">
        <v>41</v>
      </c>
    </row>
    <row r="8" spans="1:14">
      <c r="A8" s="484">
        <v>30</v>
      </c>
      <c r="B8" s="485">
        <f>(B10-B6)/(A10-A6)*(A8-A6)+B6</f>
        <v>1660000</v>
      </c>
      <c r="C8" s="486">
        <v>11</v>
      </c>
      <c r="D8" s="485">
        <f t="shared" si="9"/>
        <v>90000</v>
      </c>
      <c r="E8" s="485">
        <f t="shared" si="8"/>
        <v>990000</v>
      </c>
      <c r="F8" s="485">
        <f t="shared" si="0"/>
        <v>2650000</v>
      </c>
      <c r="G8" s="485">
        <f t="shared" si="1"/>
        <v>530000</v>
      </c>
      <c r="H8" s="485">
        <f t="shared" si="2"/>
        <v>2120000</v>
      </c>
      <c r="I8" s="498">
        <f t="shared" si="3"/>
        <v>0.0883333333333333</v>
      </c>
      <c r="J8" s="485">
        <f t="shared" si="4"/>
        <v>38358974.3589744</v>
      </c>
      <c r="K8" s="499">
        <f t="shared" si="5"/>
        <v>0.0690842245989305</v>
      </c>
      <c r="L8" s="499">
        <f t="shared" si="6"/>
        <v>0.626415094339623</v>
      </c>
      <c r="M8" s="499">
        <f t="shared" si="7"/>
        <v>0.373584905660377</v>
      </c>
      <c r="N8" s="500"/>
    </row>
    <row r="9" spans="1:14">
      <c r="A9" s="484">
        <v>35</v>
      </c>
      <c r="B9" s="485">
        <f>(B10-B6)/(A10-A6)*(A9-A6)+B6</f>
        <v>1995000</v>
      </c>
      <c r="C9" s="486">
        <v>12</v>
      </c>
      <c r="D9" s="485">
        <f t="shared" si="9"/>
        <v>90000</v>
      </c>
      <c r="E9" s="485">
        <f t="shared" si="8"/>
        <v>1080000</v>
      </c>
      <c r="F9" s="485">
        <f t="shared" si="0"/>
        <v>3075000</v>
      </c>
      <c r="G9" s="485">
        <f t="shared" si="1"/>
        <v>615000</v>
      </c>
      <c r="H9" s="485">
        <f t="shared" si="2"/>
        <v>2460000</v>
      </c>
      <c r="I9" s="498">
        <f t="shared" si="3"/>
        <v>0.0878571428571429</v>
      </c>
      <c r="J9" s="485">
        <f t="shared" si="4"/>
        <v>44752136.7521368</v>
      </c>
      <c r="K9" s="499">
        <f t="shared" si="5"/>
        <v>0.0687118029029794</v>
      </c>
      <c r="L9" s="499">
        <f t="shared" si="6"/>
        <v>0.648780487804878</v>
      </c>
      <c r="M9" s="499">
        <f t="shared" si="7"/>
        <v>0.351219512195122</v>
      </c>
      <c r="N9" s="500"/>
    </row>
    <row r="10" spans="1:15">
      <c r="A10" s="488">
        <v>40</v>
      </c>
      <c r="B10" s="489">
        <v>2330000</v>
      </c>
      <c r="C10" s="490">
        <v>13</v>
      </c>
      <c r="D10" s="491">
        <f t="shared" si="9"/>
        <v>90000</v>
      </c>
      <c r="E10" s="491">
        <f t="shared" si="8"/>
        <v>1170000</v>
      </c>
      <c r="F10" s="492">
        <f t="shared" si="0"/>
        <v>3500000</v>
      </c>
      <c r="G10" s="491">
        <f t="shared" si="1"/>
        <v>700000</v>
      </c>
      <c r="H10" s="491">
        <f t="shared" si="2"/>
        <v>2800000</v>
      </c>
      <c r="I10" s="502">
        <f t="shared" si="3"/>
        <v>0.0875</v>
      </c>
      <c r="J10" s="491">
        <f t="shared" si="4"/>
        <v>51145299.1452992</v>
      </c>
      <c r="K10" s="503">
        <f t="shared" si="5"/>
        <v>0.068432486631016</v>
      </c>
      <c r="L10" s="503">
        <f t="shared" si="6"/>
        <v>0.665714285714286</v>
      </c>
      <c r="M10" s="503">
        <f t="shared" si="7"/>
        <v>0.334285714285714</v>
      </c>
      <c r="N10" s="501">
        <v>36</v>
      </c>
      <c r="O10" s="506">
        <f>B10-B6</f>
        <v>1340000</v>
      </c>
    </row>
    <row r="11" ht="14.85" spans="1:14">
      <c r="A11" s="484">
        <v>45</v>
      </c>
      <c r="B11" s="485">
        <v>1630000</v>
      </c>
      <c r="C11" s="486">
        <v>13</v>
      </c>
      <c r="D11" s="485">
        <f t="shared" si="9"/>
        <v>90000</v>
      </c>
      <c r="E11" s="485">
        <f t="shared" si="8"/>
        <v>1170000</v>
      </c>
      <c r="F11" s="485">
        <f t="shared" si="0"/>
        <v>2800000</v>
      </c>
      <c r="G11" s="485">
        <f t="shared" si="1"/>
        <v>560000</v>
      </c>
      <c r="H11" s="485">
        <f t="shared" si="2"/>
        <v>2240000</v>
      </c>
      <c r="I11" s="498">
        <f t="shared" si="3"/>
        <v>0.0622222222222222</v>
      </c>
      <c r="J11" s="485">
        <f t="shared" si="4"/>
        <v>57538461.5384615</v>
      </c>
      <c r="K11" s="499">
        <f t="shared" si="5"/>
        <v>0.0486631016042781</v>
      </c>
      <c r="L11" s="499">
        <f t="shared" si="6"/>
        <v>0.582142857142857</v>
      </c>
      <c r="M11" s="499">
        <f t="shared" si="7"/>
        <v>0.417857142857143</v>
      </c>
      <c r="N11" s="507">
        <f>0.74+N10/100</f>
        <v>1.1</v>
      </c>
    </row>
    <row r="12" spans="1:14">
      <c r="A12" s="484">
        <v>50</v>
      </c>
      <c r="B12" s="485">
        <f>(B14-B10)/(A14-A10)*(A12-A10)+B10</f>
        <v>3040000</v>
      </c>
      <c r="C12" s="486">
        <f>C11+1</f>
        <v>14</v>
      </c>
      <c r="D12" s="485">
        <f t="shared" si="9"/>
        <v>90000</v>
      </c>
      <c r="E12" s="485">
        <f t="shared" si="8"/>
        <v>1260000</v>
      </c>
      <c r="F12" s="485">
        <f t="shared" si="0"/>
        <v>4300000</v>
      </c>
      <c r="G12" s="485">
        <f t="shared" si="1"/>
        <v>860000</v>
      </c>
      <c r="H12" s="485">
        <f t="shared" si="2"/>
        <v>3440000</v>
      </c>
      <c r="I12" s="498">
        <f t="shared" si="3"/>
        <v>0.086</v>
      </c>
      <c r="J12" s="485">
        <f t="shared" si="4"/>
        <v>63931623.9316239</v>
      </c>
      <c r="K12" s="499">
        <f t="shared" si="5"/>
        <v>0.0672593582887701</v>
      </c>
      <c r="L12" s="499">
        <f t="shared" si="6"/>
        <v>0.706976744186047</v>
      </c>
      <c r="M12" s="499">
        <f t="shared" si="7"/>
        <v>0.293023255813953</v>
      </c>
      <c r="N12" s="508"/>
    </row>
    <row r="13" spans="1:16">
      <c r="A13" s="484">
        <v>55</v>
      </c>
      <c r="B13" s="485">
        <f>(B14-B10)/(A14-A10)*(A13-A10)+B10</f>
        <v>3395000</v>
      </c>
      <c r="C13" s="486">
        <v>14</v>
      </c>
      <c r="D13" s="485">
        <f t="shared" si="9"/>
        <v>90000</v>
      </c>
      <c r="E13" s="485">
        <f t="shared" si="8"/>
        <v>1260000</v>
      </c>
      <c r="F13" s="485">
        <f t="shared" si="0"/>
        <v>4655000</v>
      </c>
      <c r="G13" s="485">
        <f t="shared" si="1"/>
        <v>931000</v>
      </c>
      <c r="H13" s="485">
        <f t="shared" si="2"/>
        <v>3724000</v>
      </c>
      <c r="I13" s="498">
        <f t="shared" si="3"/>
        <v>0.0846363636363636</v>
      </c>
      <c r="J13" s="485">
        <f t="shared" si="4"/>
        <v>70324786.3247863</v>
      </c>
      <c r="K13" s="499">
        <f t="shared" si="5"/>
        <v>0.0661928779776373</v>
      </c>
      <c r="L13" s="499">
        <f t="shared" si="6"/>
        <v>0.729323308270677</v>
      </c>
      <c r="M13" s="499">
        <f t="shared" si="7"/>
        <v>0.270676691729323</v>
      </c>
      <c r="N13" s="509"/>
      <c r="O13" s="510"/>
      <c r="P13" s="511"/>
    </row>
    <row r="14" spans="1:16">
      <c r="A14" s="488">
        <v>60</v>
      </c>
      <c r="B14" s="489">
        <v>3750000</v>
      </c>
      <c r="C14" s="490">
        <v>15</v>
      </c>
      <c r="D14" s="491">
        <f t="shared" si="9"/>
        <v>90000</v>
      </c>
      <c r="E14" s="491">
        <f t="shared" si="8"/>
        <v>1350000</v>
      </c>
      <c r="F14" s="492">
        <f t="shared" si="0"/>
        <v>5100000</v>
      </c>
      <c r="G14" s="491">
        <f t="shared" si="1"/>
        <v>1020000</v>
      </c>
      <c r="H14" s="491">
        <f t="shared" si="2"/>
        <v>4080000</v>
      </c>
      <c r="I14" s="502">
        <f t="shared" si="3"/>
        <v>0.085</v>
      </c>
      <c r="J14" s="491">
        <f t="shared" si="4"/>
        <v>76717948.7179487</v>
      </c>
      <c r="K14" s="503">
        <f t="shared" si="5"/>
        <v>0.0664772727272727</v>
      </c>
      <c r="L14" s="503">
        <f t="shared" si="6"/>
        <v>0.735294117647059</v>
      </c>
      <c r="M14" s="503">
        <f t="shared" si="7"/>
        <v>0.264705882352941</v>
      </c>
      <c r="N14" s="512"/>
      <c r="O14" s="513"/>
      <c r="P14" s="511"/>
    </row>
    <row r="15" spans="1:16">
      <c r="A15" s="484">
        <v>65</v>
      </c>
      <c r="B15" s="485">
        <f>(B18-B14)/(A18-A14)*(A15-A14)+B14</f>
        <v>4035000</v>
      </c>
      <c r="C15" s="486">
        <f>C14+1</f>
        <v>16</v>
      </c>
      <c r="D15" s="485">
        <f t="shared" si="9"/>
        <v>90000</v>
      </c>
      <c r="E15" s="485">
        <f t="shared" si="8"/>
        <v>1440000</v>
      </c>
      <c r="F15" s="485">
        <f t="shared" si="0"/>
        <v>5475000</v>
      </c>
      <c r="G15" s="485">
        <f t="shared" si="1"/>
        <v>1095000</v>
      </c>
      <c r="H15" s="485">
        <f t="shared" si="2"/>
        <v>4380000</v>
      </c>
      <c r="I15" s="498">
        <f t="shared" si="3"/>
        <v>0.0842307692307692</v>
      </c>
      <c r="J15" s="485">
        <f t="shared" si="4"/>
        <v>83111111.1111111</v>
      </c>
      <c r="K15" s="499">
        <f t="shared" si="5"/>
        <v>0.0658756684491978</v>
      </c>
      <c r="L15" s="499">
        <f t="shared" si="6"/>
        <v>0.736986301369863</v>
      </c>
      <c r="M15" s="499">
        <f t="shared" si="7"/>
        <v>0.263013698630137</v>
      </c>
      <c r="N15" s="514"/>
      <c r="O15" s="510"/>
      <c r="P15" s="511"/>
    </row>
    <row r="16" spans="1:16">
      <c r="A16" s="484">
        <v>70</v>
      </c>
      <c r="B16" s="485">
        <f>(B18-B14)/(A18-A14)*(A16-A14)+B14</f>
        <v>4320000</v>
      </c>
      <c r="C16" s="486">
        <f t="shared" ref="C16:C31" si="10">C15+1</f>
        <v>17</v>
      </c>
      <c r="D16" s="485">
        <f t="shared" si="9"/>
        <v>90000</v>
      </c>
      <c r="E16" s="485">
        <f t="shared" si="8"/>
        <v>1530000</v>
      </c>
      <c r="F16" s="485">
        <f t="shared" si="0"/>
        <v>5850000</v>
      </c>
      <c r="G16" s="485">
        <f t="shared" si="1"/>
        <v>1170000</v>
      </c>
      <c r="H16" s="485">
        <f t="shared" si="2"/>
        <v>4680000</v>
      </c>
      <c r="I16" s="498">
        <f t="shared" si="3"/>
        <v>0.0835714285714286</v>
      </c>
      <c r="J16" s="485">
        <f t="shared" si="4"/>
        <v>89504273.5042735</v>
      </c>
      <c r="K16" s="499">
        <f t="shared" si="5"/>
        <v>0.0653600076394194</v>
      </c>
      <c r="L16" s="499">
        <f t="shared" si="6"/>
        <v>0.738461538461539</v>
      </c>
      <c r="M16" s="499">
        <f t="shared" si="7"/>
        <v>0.261538461538462</v>
      </c>
      <c r="N16" s="515"/>
      <c r="O16" s="510"/>
      <c r="P16" s="511"/>
    </row>
    <row r="17" spans="1:16">
      <c r="A17" s="484">
        <v>75</v>
      </c>
      <c r="B17" s="485">
        <f>(B18-B14)/(A18-A14)*(A17-A14)+B14</f>
        <v>4605000</v>
      </c>
      <c r="C17" s="486">
        <f t="shared" si="10"/>
        <v>18</v>
      </c>
      <c r="D17" s="485">
        <f t="shared" si="9"/>
        <v>90000</v>
      </c>
      <c r="E17" s="485">
        <f t="shared" si="8"/>
        <v>1620000</v>
      </c>
      <c r="F17" s="485">
        <f t="shared" si="0"/>
        <v>6225000</v>
      </c>
      <c r="G17" s="485">
        <f t="shared" si="1"/>
        <v>1245000</v>
      </c>
      <c r="H17" s="485">
        <f t="shared" si="2"/>
        <v>4980000</v>
      </c>
      <c r="I17" s="498">
        <f t="shared" si="3"/>
        <v>0.083</v>
      </c>
      <c r="J17" s="485">
        <f t="shared" si="4"/>
        <v>95897435.8974359</v>
      </c>
      <c r="K17" s="499">
        <f t="shared" si="5"/>
        <v>0.0649131016042781</v>
      </c>
      <c r="L17" s="499">
        <f t="shared" si="6"/>
        <v>0.739759036144578</v>
      </c>
      <c r="M17" s="499">
        <f t="shared" si="7"/>
        <v>0.260240963855422</v>
      </c>
      <c r="N17" s="515"/>
      <c r="O17" s="510"/>
      <c r="P17" s="511"/>
    </row>
    <row r="18" spans="1:16">
      <c r="A18" s="488">
        <v>80</v>
      </c>
      <c r="B18" s="489">
        <v>4890000</v>
      </c>
      <c r="C18" s="490">
        <f t="shared" si="10"/>
        <v>19</v>
      </c>
      <c r="D18" s="491">
        <f t="shared" si="9"/>
        <v>90000</v>
      </c>
      <c r="E18" s="491">
        <f t="shared" si="8"/>
        <v>1710000</v>
      </c>
      <c r="F18" s="492">
        <f t="shared" si="0"/>
        <v>6600000</v>
      </c>
      <c r="G18" s="491">
        <f t="shared" si="1"/>
        <v>1320000</v>
      </c>
      <c r="H18" s="491">
        <f t="shared" si="2"/>
        <v>5280000</v>
      </c>
      <c r="I18" s="502">
        <f t="shared" si="3"/>
        <v>0.0825</v>
      </c>
      <c r="J18" s="491">
        <f t="shared" si="4"/>
        <v>102290598.290598</v>
      </c>
      <c r="K18" s="503">
        <f t="shared" si="5"/>
        <v>0.0645220588235294</v>
      </c>
      <c r="L18" s="503">
        <f t="shared" si="6"/>
        <v>0.740909090909091</v>
      </c>
      <c r="M18" s="503">
        <f t="shared" si="7"/>
        <v>0.259090909090909</v>
      </c>
      <c r="N18" s="512"/>
      <c r="O18" s="513"/>
      <c r="P18" s="511"/>
    </row>
    <row r="19" spans="1:16">
      <c r="A19" s="484">
        <v>85</v>
      </c>
      <c r="B19" s="485">
        <f>(B22-B18)/(A22-A18)*(A19-A18)+B18</f>
        <v>5150000</v>
      </c>
      <c r="C19" s="486">
        <f t="shared" si="10"/>
        <v>20</v>
      </c>
      <c r="D19" s="485">
        <f t="shared" si="9"/>
        <v>90000</v>
      </c>
      <c r="E19" s="485">
        <f t="shared" si="8"/>
        <v>1800000</v>
      </c>
      <c r="F19" s="485">
        <f t="shared" si="0"/>
        <v>6950000</v>
      </c>
      <c r="G19" s="485">
        <f t="shared" si="1"/>
        <v>1390000</v>
      </c>
      <c r="H19" s="485">
        <f t="shared" si="2"/>
        <v>5560000</v>
      </c>
      <c r="I19" s="498">
        <f t="shared" si="3"/>
        <v>0.0817647058823529</v>
      </c>
      <c r="J19" s="485">
        <f t="shared" si="4"/>
        <v>108683760.683761</v>
      </c>
      <c r="K19" s="499">
        <f t="shared" si="5"/>
        <v>0.0639469959106637</v>
      </c>
      <c r="L19" s="499">
        <f t="shared" si="6"/>
        <v>0.741007194244604</v>
      </c>
      <c r="M19" s="499">
        <f t="shared" si="7"/>
        <v>0.258992805755396</v>
      </c>
      <c r="N19" s="514"/>
      <c r="O19" s="510"/>
      <c r="P19" s="511"/>
    </row>
    <row r="20" spans="1:16">
      <c r="A20" s="484">
        <v>90</v>
      </c>
      <c r="B20" s="485">
        <f>(B22-B18)/(A22-A18)*(A20-A18)+B18</f>
        <v>5410000</v>
      </c>
      <c r="C20" s="486">
        <f t="shared" si="10"/>
        <v>21</v>
      </c>
      <c r="D20" s="485">
        <f t="shared" si="9"/>
        <v>90000</v>
      </c>
      <c r="E20" s="485">
        <f t="shared" si="8"/>
        <v>1890000</v>
      </c>
      <c r="F20" s="485">
        <f t="shared" si="0"/>
        <v>7300000</v>
      </c>
      <c r="G20" s="485">
        <f t="shared" si="1"/>
        <v>1460000</v>
      </c>
      <c r="H20" s="485">
        <f t="shared" si="2"/>
        <v>5840000</v>
      </c>
      <c r="I20" s="498">
        <f t="shared" si="3"/>
        <v>0.0811111111111111</v>
      </c>
      <c r="J20" s="485">
        <f t="shared" si="4"/>
        <v>115076923.076923</v>
      </c>
      <c r="K20" s="499">
        <f t="shared" si="5"/>
        <v>0.0634358288770053</v>
      </c>
      <c r="L20" s="499">
        <f t="shared" si="6"/>
        <v>0.741095890410959</v>
      </c>
      <c r="M20" s="499">
        <f t="shared" si="7"/>
        <v>0.258904109589041</v>
      </c>
      <c r="N20" s="515"/>
      <c r="O20" s="510"/>
      <c r="P20" s="511"/>
    </row>
    <row r="21" spans="1:16">
      <c r="A21" s="484">
        <v>95</v>
      </c>
      <c r="B21" s="485">
        <f>(B22-B18)/(A22-A18)*(A21-A18)+B18</f>
        <v>5670000</v>
      </c>
      <c r="C21" s="486">
        <f t="shared" si="10"/>
        <v>22</v>
      </c>
      <c r="D21" s="485">
        <f t="shared" si="9"/>
        <v>90000</v>
      </c>
      <c r="E21" s="485">
        <f t="shared" si="8"/>
        <v>1980000</v>
      </c>
      <c r="F21" s="485">
        <f t="shared" si="0"/>
        <v>7650000</v>
      </c>
      <c r="G21" s="485">
        <f t="shared" si="1"/>
        <v>1530000</v>
      </c>
      <c r="H21" s="485">
        <f t="shared" si="2"/>
        <v>6120000</v>
      </c>
      <c r="I21" s="498">
        <f t="shared" si="3"/>
        <v>0.0805263157894737</v>
      </c>
      <c r="J21" s="485">
        <f t="shared" si="4"/>
        <v>121470085.470085</v>
      </c>
      <c r="K21" s="499">
        <f t="shared" si="5"/>
        <v>0.0629784688995215</v>
      </c>
      <c r="L21" s="499">
        <f t="shared" si="6"/>
        <v>0.741176470588235</v>
      </c>
      <c r="M21" s="499">
        <f t="shared" si="7"/>
        <v>0.258823529411765</v>
      </c>
      <c r="N21" s="515"/>
      <c r="O21" s="510"/>
      <c r="P21" s="511"/>
    </row>
    <row r="22" spans="1:16">
      <c r="A22" s="488">
        <v>100</v>
      </c>
      <c r="B22" s="489">
        <v>5930000</v>
      </c>
      <c r="C22" s="490">
        <f t="shared" si="10"/>
        <v>23</v>
      </c>
      <c r="D22" s="491">
        <f t="shared" si="9"/>
        <v>90000</v>
      </c>
      <c r="E22" s="491">
        <f t="shared" si="8"/>
        <v>2070000</v>
      </c>
      <c r="F22" s="492">
        <f t="shared" si="0"/>
        <v>8000000</v>
      </c>
      <c r="G22" s="491">
        <f t="shared" si="1"/>
        <v>1600000</v>
      </c>
      <c r="H22" s="491">
        <f t="shared" si="2"/>
        <v>6400000</v>
      </c>
      <c r="I22" s="502">
        <f t="shared" si="3"/>
        <v>0.08</v>
      </c>
      <c r="J22" s="491">
        <f t="shared" si="4"/>
        <v>127863247.863248</v>
      </c>
      <c r="K22" s="503">
        <f t="shared" si="5"/>
        <v>0.0625668449197861</v>
      </c>
      <c r="L22" s="503">
        <f t="shared" si="6"/>
        <v>0.74125</v>
      </c>
      <c r="M22" s="503">
        <f t="shared" si="7"/>
        <v>0.25875</v>
      </c>
      <c r="N22" s="512"/>
      <c r="O22" s="513"/>
      <c r="P22" s="511"/>
    </row>
    <row r="23" spans="1:16">
      <c r="A23" s="484">
        <v>105</v>
      </c>
      <c r="B23" s="485">
        <f>(B26-B22)/(A26-A22)*(A23-A22)+B22</f>
        <v>6232500</v>
      </c>
      <c r="C23" s="486">
        <v>23</v>
      </c>
      <c r="D23" s="485">
        <f t="shared" si="9"/>
        <v>90000</v>
      </c>
      <c r="E23" s="485">
        <f t="shared" si="8"/>
        <v>2070000</v>
      </c>
      <c r="F23" s="485">
        <f t="shared" si="0"/>
        <v>8302500</v>
      </c>
      <c r="G23" s="485">
        <f t="shared" si="1"/>
        <v>1660500</v>
      </c>
      <c r="H23" s="485">
        <f t="shared" si="2"/>
        <v>6642000</v>
      </c>
      <c r="I23" s="498">
        <f t="shared" ref="I23:I34" si="11">F23/A23/1000000</f>
        <v>0.0790714285714286</v>
      </c>
      <c r="J23" s="485">
        <f t="shared" si="4"/>
        <v>134256410.25641</v>
      </c>
      <c r="K23" s="499">
        <f t="shared" si="5"/>
        <v>0.0618406226126814</v>
      </c>
      <c r="L23" s="499">
        <f t="shared" si="6"/>
        <v>0.750677506775068</v>
      </c>
      <c r="M23" s="499">
        <f t="shared" si="7"/>
        <v>0.249322493224932</v>
      </c>
      <c r="N23" s="514"/>
      <c r="O23" s="510"/>
      <c r="P23" s="511"/>
    </row>
    <row r="24" spans="1:16">
      <c r="A24" s="484">
        <v>110</v>
      </c>
      <c r="B24" s="485">
        <f>(B26-B22)/(A26-A22)*(A24-A22)+B22</f>
        <v>6535000</v>
      </c>
      <c r="C24" s="486">
        <v>23</v>
      </c>
      <c r="D24" s="485">
        <f t="shared" si="9"/>
        <v>90000</v>
      </c>
      <c r="E24" s="485">
        <f t="shared" si="8"/>
        <v>2070000</v>
      </c>
      <c r="F24" s="485">
        <f t="shared" si="0"/>
        <v>8605000</v>
      </c>
      <c r="G24" s="485">
        <f t="shared" si="1"/>
        <v>1721000</v>
      </c>
      <c r="H24" s="485">
        <f t="shared" si="2"/>
        <v>6884000</v>
      </c>
      <c r="I24" s="498">
        <f t="shared" si="11"/>
        <v>0.0782272727272727</v>
      </c>
      <c r="J24" s="485">
        <f t="shared" si="4"/>
        <v>140649572.649573</v>
      </c>
      <c r="K24" s="499">
        <f t="shared" si="5"/>
        <v>0.0611804205153136</v>
      </c>
      <c r="L24" s="499">
        <f t="shared" si="6"/>
        <v>0.759442184776293</v>
      </c>
      <c r="M24" s="499">
        <f t="shared" si="7"/>
        <v>0.240557815223707</v>
      </c>
      <c r="N24" s="515"/>
      <c r="O24" s="510"/>
      <c r="P24" s="511"/>
    </row>
    <row r="25" spans="1:16">
      <c r="A25" s="484">
        <v>115</v>
      </c>
      <c r="B25" s="485">
        <f>(B26-B22)/(A26-A22)*(A25-A22)+B22</f>
        <v>6837500</v>
      </c>
      <c r="C25" s="486">
        <f t="shared" si="10"/>
        <v>24</v>
      </c>
      <c r="D25" s="485">
        <f t="shared" si="9"/>
        <v>90000</v>
      </c>
      <c r="E25" s="485">
        <f t="shared" si="8"/>
        <v>2160000</v>
      </c>
      <c r="F25" s="485">
        <f t="shared" si="0"/>
        <v>8997500</v>
      </c>
      <c r="G25" s="485">
        <f t="shared" si="1"/>
        <v>1799500</v>
      </c>
      <c r="H25" s="485">
        <f t="shared" si="2"/>
        <v>7198000</v>
      </c>
      <c r="I25" s="498">
        <f t="shared" si="11"/>
        <v>0.0782391304347826</v>
      </c>
      <c r="J25" s="485">
        <f t="shared" si="4"/>
        <v>147042735.042735</v>
      </c>
      <c r="K25" s="499">
        <f t="shared" si="5"/>
        <v>0.0611896942571495</v>
      </c>
      <c r="L25" s="499">
        <f t="shared" si="6"/>
        <v>0.759933314809669</v>
      </c>
      <c r="M25" s="499">
        <f t="shared" si="7"/>
        <v>0.240066685190331</v>
      </c>
      <c r="N25" s="515"/>
      <c r="O25" s="510"/>
      <c r="P25" s="511"/>
    </row>
    <row r="26" spans="1:16">
      <c r="A26" s="488">
        <v>120</v>
      </c>
      <c r="B26" s="489">
        <v>7140000</v>
      </c>
      <c r="C26" s="490">
        <v>24</v>
      </c>
      <c r="D26" s="491">
        <f t="shared" si="9"/>
        <v>90000</v>
      </c>
      <c r="E26" s="491">
        <f t="shared" si="8"/>
        <v>2160000</v>
      </c>
      <c r="F26" s="492">
        <f t="shared" si="0"/>
        <v>9300000</v>
      </c>
      <c r="G26" s="491">
        <f t="shared" si="1"/>
        <v>1860000</v>
      </c>
      <c r="H26" s="491">
        <f t="shared" si="2"/>
        <v>7440000</v>
      </c>
      <c r="I26" s="502">
        <f t="shared" si="11"/>
        <v>0.0775</v>
      </c>
      <c r="J26" s="491">
        <f t="shared" si="4"/>
        <v>153435897.435897</v>
      </c>
      <c r="K26" s="503">
        <f t="shared" si="5"/>
        <v>0.0606116310160428</v>
      </c>
      <c r="L26" s="503">
        <f t="shared" si="6"/>
        <v>0.767741935483871</v>
      </c>
      <c r="M26" s="503">
        <f t="shared" si="7"/>
        <v>0.232258064516129</v>
      </c>
      <c r="N26" s="512"/>
      <c r="O26" s="513"/>
      <c r="P26" s="511"/>
    </row>
    <row r="27" spans="1:16">
      <c r="A27" s="484">
        <v>125</v>
      </c>
      <c r="B27" s="485">
        <f>(B30-B26)/(A30-A26)*(A27-A26)+B26</f>
        <v>7417500</v>
      </c>
      <c r="C27" s="486">
        <v>24</v>
      </c>
      <c r="D27" s="485">
        <f t="shared" si="9"/>
        <v>90000</v>
      </c>
      <c r="E27" s="485">
        <f t="shared" si="8"/>
        <v>2160000</v>
      </c>
      <c r="F27" s="485">
        <f t="shared" si="0"/>
        <v>9577500</v>
      </c>
      <c r="G27" s="485">
        <f t="shared" si="1"/>
        <v>1915500</v>
      </c>
      <c r="H27" s="485">
        <f t="shared" si="2"/>
        <v>7662000</v>
      </c>
      <c r="I27" s="498">
        <f t="shared" si="11"/>
        <v>0.07662</v>
      </c>
      <c r="J27" s="485">
        <f t="shared" si="4"/>
        <v>159829059.82906</v>
      </c>
      <c r="K27" s="499">
        <f t="shared" si="5"/>
        <v>0.0599233957219251</v>
      </c>
      <c r="L27" s="499">
        <f t="shared" si="6"/>
        <v>0.774471417384495</v>
      </c>
      <c r="M27" s="499">
        <f t="shared" si="7"/>
        <v>0.225528582615505</v>
      </c>
      <c r="N27" s="514"/>
      <c r="O27" s="510"/>
      <c r="P27" s="511"/>
    </row>
    <row r="28" spans="1:16">
      <c r="A28" s="484">
        <v>130</v>
      </c>
      <c r="B28" s="485">
        <f>(B30-B26)/(A30-A26)*(A28-A26)+B26</f>
        <v>7695000</v>
      </c>
      <c r="C28" s="486">
        <f t="shared" si="10"/>
        <v>25</v>
      </c>
      <c r="D28" s="485">
        <f t="shared" si="9"/>
        <v>90000</v>
      </c>
      <c r="E28" s="485">
        <f t="shared" si="8"/>
        <v>2250000</v>
      </c>
      <c r="F28" s="485">
        <f t="shared" si="0"/>
        <v>9945000</v>
      </c>
      <c r="G28" s="485">
        <f t="shared" si="1"/>
        <v>1989000</v>
      </c>
      <c r="H28" s="485">
        <f t="shared" si="2"/>
        <v>7956000</v>
      </c>
      <c r="I28" s="498">
        <f t="shared" si="11"/>
        <v>0.0765</v>
      </c>
      <c r="J28" s="485">
        <f t="shared" si="4"/>
        <v>166222222.222222</v>
      </c>
      <c r="K28" s="499">
        <f t="shared" si="5"/>
        <v>0.0598295454545454</v>
      </c>
      <c r="L28" s="499">
        <f t="shared" si="6"/>
        <v>0.773755656108597</v>
      </c>
      <c r="M28" s="499">
        <f t="shared" si="7"/>
        <v>0.226244343891403</v>
      </c>
      <c r="N28" s="515"/>
      <c r="O28" s="510"/>
      <c r="P28" s="511"/>
    </row>
    <row r="29" spans="1:16">
      <c r="A29" s="484">
        <v>135</v>
      </c>
      <c r="B29" s="485">
        <f>(B30-B26)/(A30-A26)*(A29-A26)+B26</f>
        <v>7972500</v>
      </c>
      <c r="C29" s="486">
        <v>25</v>
      </c>
      <c r="D29" s="485">
        <f t="shared" si="9"/>
        <v>90000</v>
      </c>
      <c r="E29" s="485">
        <f t="shared" si="8"/>
        <v>2250000</v>
      </c>
      <c r="F29" s="485">
        <f t="shared" si="0"/>
        <v>10222500</v>
      </c>
      <c r="G29" s="485">
        <f t="shared" si="1"/>
        <v>2044500</v>
      </c>
      <c r="H29" s="485">
        <f t="shared" si="2"/>
        <v>8178000</v>
      </c>
      <c r="I29" s="498">
        <f t="shared" si="11"/>
        <v>0.0757222222222222</v>
      </c>
      <c r="J29" s="485">
        <f t="shared" si="4"/>
        <v>172615384.615385</v>
      </c>
      <c r="K29" s="499">
        <f t="shared" si="5"/>
        <v>0.059221256684492</v>
      </c>
      <c r="L29" s="499">
        <f t="shared" si="6"/>
        <v>0.779897285399853</v>
      </c>
      <c r="M29" s="499">
        <f t="shared" si="7"/>
        <v>0.220102714600147</v>
      </c>
      <c r="N29" s="515"/>
      <c r="O29" s="510"/>
      <c r="P29" s="511"/>
    </row>
    <row r="30" spans="1:16">
      <c r="A30" s="488">
        <v>140</v>
      </c>
      <c r="B30" s="489">
        <v>8250000</v>
      </c>
      <c r="C30" s="490">
        <v>25</v>
      </c>
      <c r="D30" s="491">
        <f t="shared" si="9"/>
        <v>90000</v>
      </c>
      <c r="E30" s="491">
        <f t="shared" si="8"/>
        <v>2250000</v>
      </c>
      <c r="F30" s="492">
        <f t="shared" si="0"/>
        <v>10500000</v>
      </c>
      <c r="G30" s="491">
        <f t="shared" si="1"/>
        <v>2100000</v>
      </c>
      <c r="H30" s="491">
        <f t="shared" si="2"/>
        <v>8400000</v>
      </c>
      <c r="I30" s="502">
        <f t="shared" si="11"/>
        <v>0.075</v>
      </c>
      <c r="J30" s="491">
        <f t="shared" si="4"/>
        <v>179008547.008547</v>
      </c>
      <c r="K30" s="503">
        <f t="shared" si="5"/>
        <v>0.0586564171122995</v>
      </c>
      <c r="L30" s="503">
        <f t="shared" si="6"/>
        <v>0.785714285714286</v>
      </c>
      <c r="M30" s="503">
        <f t="shared" si="7"/>
        <v>0.214285714285714</v>
      </c>
      <c r="N30" s="512"/>
      <c r="O30" s="513"/>
      <c r="P30" s="511"/>
    </row>
    <row r="31" spans="1:16">
      <c r="A31" s="484">
        <v>145</v>
      </c>
      <c r="B31" s="485">
        <f>(B34-B30)/(A34-A30)*(A31-A30)+B30</f>
        <v>8457500</v>
      </c>
      <c r="C31" s="486">
        <f t="shared" si="10"/>
        <v>26</v>
      </c>
      <c r="D31" s="485">
        <f t="shared" si="9"/>
        <v>90000</v>
      </c>
      <c r="E31" s="485">
        <f t="shared" si="8"/>
        <v>2340000</v>
      </c>
      <c r="F31" s="485">
        <f t="shared" si="0"/>
        <v>10797500</v>
      </c>
      <c r="G31" s="485">
        <f t="shared" si="1"/>
        <v>2159500</v>
      </c>
      <c r="H31" s="485">
        <f t="shared" si="2"/>
        <v>8638000</v>
      </c>
      <c r="I31" s="498">
        <f t="shared" si="11"/>
        <v>0.0744655172413793</v>
      </c>
      <c r="J31" s="485">
        <f t="shared" si="4"/>
        <v>185401709.401709</v>
      </c>
      <c r="K31" s="499">
        <f t="shared" si="5"/>
        <v>0.058238405863913</v>
      </c>
      <c r="L31" s="499">
        <f t="shared" si="6"/>
        <v>0.783283167399861</v>
      </c>
      <c r="M31" s="499">
        <f t="shared" si="7"/>
        <v>0.216716832600139</v>
      </c>
      <c r="N31" s="514"/>
      <c r="O31" s="510"/>
      <c r="P31" s="511"/>
    </row>
    <row r="32" spans="1:16">
      <c r="A32" s="484">
        <v>150</v>
      </c>
      <c r="B32" s="485">
        <f>(B34-B30)/(A34-A30)*(A32-A30)+B30</f>
        <v>8665000</v>
      </c>
      <c r="C32" s="486">
        <v>26</v>
      </c>
      <c r="D32" s="485">
        <f t="shared" si="9"/>
        <v>90000</v>
      </c>
      <c r="E32" s="485">
        <f t="shared" si="8"/>
        <v>2340000</v>
      </c>
      <c r="F32" s="485">
        <f t="shared" si="0"/>
        <v>11005000</v>
      </c>
      <c r="G32" s="485">
        <f t="shared" si="1"/>
        <v>2201000</v>
      </c>
      <c r="H32" s="485">
        <f t="shared" si="2"/>
        <v>8804000</v>
      </c>
      <c r="I32" s="498">
        <f t="shared" si="11"/>
        <v>0.0733666666666667</v>
      </c>
      <c r="J32" s="485">
        <f t="shared" si="4"/>
        <v>191794871.794872</v>
      </c>
      <c r="K32" s="499">
        <f t="shared" si="5"/>
        <v>0.0573790106951872</v>
      </c>
      <c r="L32" s="499">
        <f t="shared" si="6"/>
        <v>0.787369377555657</v>
      </c>
      <c r="M32" s="499">
        <f t="shared" si="7"/>
        <v>0.212630622444343</v>
      </c>
      <c r="N32" s="515"/>
      <c r="O32" s="510"/>
      <c r="P32" s="511"/>
    </row>
    <row r="33" spans="1:16">
      <c r="A33" s="484">
        <v>155</v>
      </c>
      <c r="B33" s="485">
        <f>(B34-B30)/(A34-A30)*(A33-A30)+B30</f>
        <v>8872500</v>
      </c>
      <c r="C33" s="486">
        <v>28</v>
      </c>
      <c r="D33" s="485">
        <f t="shared" si="9"/>
        <v>90000</v>
      </c>
      <c r="E33" s="485">
        <f t="shared" si="8"/>
        <v>2520000</v>
      </c>
      <c r="F33" s="485">
        <f t="shared" si="0"/>
        <v>11392500</v>
      </c>
      <c r="G33" s="485">
        <f t="shared" si="1"/>
        <v>2278500</v>
      </c>
      <c r="H33" s="485">
        <f t="shared" si="2"/>
        <v>9114000</v>
      </c>
      <c r="I33" s="498">
        <f t="shared" si="11"/>
        <v>0.0735</v>
      </c>
      <c r="J33" s="485">
        <f t="shared" si="4"/>
        <v>198188034.188034</v>
      </c>
      <c r="K33" s="499">
        <f t="shared" si="5"/>
        <v>0.0574832887700535</v>
      </c>
      <c r="L33" s="499">
        <f t="shared" si="6"/>
        <v>0.778801843317972</v>
      </c>
      <c r="M33" s="499">
        <f t="shared" si="7"/>
        <v>0.221198156682028</v>
      </c>
      <c r="N33" s="515"/>
      <c r="O33" s="510"/>
      <c r="P33" s="511"/>
    </row>
    <row r="34" spans="1:16">
      <c r="A34" s="488">
        <v>160</v>
      </c>
      <c r="B34" s="489">
        <v>9080000</v>
      </c>
      <c r="C34" s="490">
        <v>28</v>
      </c>
      <c r="D34" s="491">
        <f t="shared" si="9"/>
        <v>90000</v>
      </c>
      <c r="E34" s="491">
        <f t="shared" si="8"/>
        <v>2520000</v>
      </c>
      <c r="F34" s="492">
        <f t="shared" si="0"/>
        <v>11600000</v>
      </c>
      <c r="G34" s="491">
        <f t="shared" si="1"/>
        <v>2320000</v>
      </c>
      <c r="H34" s="491">
        <f t="shared" si="2"/>
        <v>9280000</v>
      </c>
      <c r="I34" s="502">
        <f t="shared" si="11"/>
        <v>0.0725</v>
      </c>
      <c r="J34" s="491">
        <f t="shared" si="4"/>
        <v>204581196.581197</v>
      </c>
      <c r="K34" s="503">
        <f t="shared" si="5"/>
        <v>0.0567012032085561</v>
      </c>
      <c r="L34" s="503">
        <f t="shared" si="6"/>
        <v>0.782758620689655</v>
      </c>
      <c r="M34" s="503">
        <f t="shared" si="7"/>
        <v>0.217241379310345</v>
      </c>
      <c r="N34" s="512"/>
      <c r="O34" s="513"/>
      <c r="P34" s="511"/>
    </row>
    <row r="35" ht="82.5" customHeight="1" spans="1:13">
      <c r="A35" s="493" t="s">
        <v>42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</row>
  </sheetData>
  <sheetProtection formatCells="0" insertHyperlinks="0" autoFilter="0"/>
  <mergeCells count="2">
    <mergeCell ref="A1:M1"/>
    <mergeCell ref="A35:M35"/>
  </mergeCells>
  <pageMargins left="0.699305555555556" right="0.699305555555556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Scroll Bar 1" r:id="rId3">
              <controlPr defaultSize="0">
                <anchor moveWithCells="1">
                  <from>
                    <xdr:col>13</xdr:col>
                    <xdr:colOff>104775</xdr:colOff>
                    <xdr:row>2</xdr:row>
                    <xdr:rowOff>57150</xdr:rowOff>
                  </from>
                  <to>
                    <xdr:col>13</xdr:col>
                    <xdr:colOff>847725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Scroll Bar 2" r:id="rId4">
              <controlPr defaultSize="0">
                <anchor moveWithCells="1">
                  <from>
                    <xdr:col>13</xdr:col>
                    <xdr:colOff>104775</xdr:colOff>
                    <xdr:row>7</xdr:row>
                    <xdr:rowOff>57150</xdr:rowOff>
                  </from>
                  <to>
                    <xdr:col>13</xdr:col>
                    <xdr:colOff>847725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6"/>
  <sheetViews>
    <sheetView workbookViewId="0">
      <selection activeCell="B27" sqref="B27:B32"/>
    </sheetView>
  </sheetViews>
  <sheetFormatPr defaultColWidth="9.12612612612613" defaultRowHeight="14.1"/>
  <cols>
    <col min="1" max="1" width="20.2522522522523" style="329" customWidth="1"/>
    <col min="2" max="2" width="13.1261261261261" style="337" customWidth="1"/>
    <col min="3" max="4" width="11.2522522522523" style="337" customWidth="1"/>
    <col min="5" max="5" width="1.25225225225225" style="337" customWidth="1"/>
    <col min="6" max="6" width="23.1261261261261" style="337" customWidth="1"/>
    <col min="7" max="7" width="1" style="337" customWidth="1"/>
    <col min="8" max="9" width="11.2522522522523" style="338" customWidth="1"/>
    <col min="10" max="10" width="52.7477477477477" style="337" customWidth="1"/>
    <col min="11" max="12" width="9.12612612612613" style="337"/>
    <col min="13" max="13" width="21.3783783783784" style="337" customWidth="1"/>
    <col min="14" max="16384" width="9.12612612612613" style="337"/>
  </cols>
  <sheetData>
    <row r="1" ht="23.45" spans="1:11">
      <c r="A1" s="339" t="s">
        <v>43</v>
      </c>
      <c r="B1" s="339"/>
      <c r="C1" s="339"/>
      <c r="D1" s="339"/>
      <c r="E1" s="339"/>
      <c r="F1" s="339"/>
      <c r="G1" s="339"/>
      <c r="H1" s="339"/>
      <c r="I1" s="339"/>
      <c r="J1" s="447"/>
      <c r="K1" s="447"/>
    </row>
    <row r="2" ht="20.1" customHeight="1" spans="1:13">
      <c r="A2" s="340" t="s">
        <v>44</v>
      </c>
      <c r="B2" s="341"/>
      <c r="C2" s="341"/>
      <c r="D2" s="341"/>
      <c r="E2" s="342"/>
      <c r="F2" s="343"/>
      <c r="G2" s="342"/>
      <c r="H2" s="344" t="s">
        <v>45</v>
      </c>
      <c r="I2" s="448"/>
      <c r="J2" s="449"/>
      <c r="K2" s="449"/>
      <c r="L2" s="450"/>
      <c r="M2" s="451" t="s">
        <v>46</v>
      </c>
    </row>
    <row r="3" ht="20.25" customHeight="1" spans="1:13">
      <c r="A3" s="332" t="s">
        <v>2</v>
      </c>
      <c r="B3" s="345" t="s">
        <v>47</v>
      </c>
      <c r="C3" s="345"/>
      <c r="D3" s="345"/>
      <c r="E3" s="346"/>
      <c r="F3" s="347" t="s">
        <v>48</v>
      </c>
      <c r="G3" s="346"/>
      <c r="H3" s="348" t="str">
        <f>B3</f>
        <v>20年</v>
      </c>
      <c r="I3" s="452" t="str">
        <f>H3</f>
        <v>20年</v>
      </c>
      <c r="L3" s="453"/>
      <c r="M3" s="451" t="s">
        <v>49</v>
      </c>
    </row>
    <row r="4" ht="44.25" customHeight="1" spans="1:13">
      <c r="A4" s="330" t="s">
        <v>4</v>
      </c>
      <c r="B4" s="331">
        <f>'Cash Flow'!D72</f>
        <v>0.090639233114495</v>
      </c>
      <c r="C4" s="349"/>
      <c r="D4" s="349"/>
      <c r="E4" s="346"/>
      <c r="F4" s="347"/>
      <c r="G4" s="346"/>
      <c r="H4" s="350" t="s">
        <v>50</v>
      </c>
      <c r="I4" s="454" t="s">
        <v>51</v>
      </c>
      <c r="L4" s="455"/>
      <c r="M4" s="337" t="s">
        <v>52</v>
      </c>
    </row>
    <row r="5" ht="31.5" customHeight="1" spans="1:9">
      <c r="A5" s="330" t="s">
        <v>5</v>
      </c>
      <c r="B5" s="331">
        <f>'Cash Flow'!D84</f>
        <v>0.157133171347432</v>
      </c>
      <c r="C5" s="351"/>
      <c r="D5" s="352"/>
      <c r="E5" s="346"/>
      <c r="F5" s="353" t="s">
        <v>12</v>
      </c>
      <c r="G5" s="346"/>
      <c r="H5" s="354"/>
      <c r="I5" s="456"/>
    </row>
    <row r="6" ht="29.25" customHeight="1" spans="1:9">
      <c r="A6" s="330" t="s">
        <v>53</v>
      </c>
      <c r="B6" s="333">
        <f>NPV(8%,'Cash Flow'!F70:Z70)</f>
        <v>43883586.6976307</v>
      </c>
      <c r="C6" s="351"/>
      <c r="D6" s="352"/>
      <c r="E6" s="346"/>
      <c r="F6" s="355" t="s">
        <v>54</v>
      </c>
      <c r="G6" s="346"/>
      <c r="H6" s="356">
        <f>B18</f>
        <v>4.6</v>
      </c>
      <c r="I6" s="457">
        <f>B18</f>
        <v>4.6</v>
      </c>
    </row>
    <row r="7" ht="20.1" customHeight="1" spans="1:9">
      <c r="A7" s="334" t="s">
        <v>9</v>
      </c>
      <c r="B7" s="357"/>
      <c r="C7" s="357"/>
      <c r="D7" s="357"/>
      <c r="E7" s="346"/>
      <c r="F7" s="355" t="s">
        <v>55</v>
      </c>
      <c r="G7" s="346"/>
      <c r="H7" s="354">
        <f>365*H16</f>
        <v>0</v>
      </c>
      <c r="I7" s="456">
        <f>B19-H7</f>
        <v>365</v>
      </c>
    </row>
    <row r="8" ht="35.25" customHeight="1" spans="1:9">
      <c r="A8" s="358"/>
      <c r="B8" s="357"/>
      <c r="C8" s="357"/>
      <c r="D8" s="357"/>
      <c r="E8" s="346"/>
      <c r="F8" s="355" t="s">
        <v>56</v>
      </c>
      <c r="G8" s="346"/>
      <c r="H8" s="354">
        <f>H6*H7</f>
        <v>0</v>
      </c>
      <c r="I8" s="458">
        <f>I6*I7</f>
        <v>1679</v>
      </c>
    </row>
    <row r="9" ht="30" customHeight="1" spans="1:11">
      <c r="A9" s="359" t="s">
        <v>57</v>
      </c>
      <c r="B9" s="360">
        <v>3000</v>
      </c>
      <c r="C9" s="361"/>
      <c r="D9" s="361"/>
      <c r="E9" s="346"/>
      <c r="F9" s="362" t="s">
        <v>58</v>
      </c>
      <c r="G9" s="346"/>
      <c r="H9" s="363">
        <f>I9</f>
        <v>0.18</v>
      </c>
      <c r="I9" s="459">
        <f>B21</f>
        <v>0.18</v>
      </c>
      <c r="J9" s="460"/>
      <c r="K9" s="460"/>
    </row>
    <row r="10" ht="20.1" customHeight="1" spans="1:11">
      <c r="A10" s="335" t="s">
        <v>11</v>
      </c>
      <c r="B10" s="364">
        <v>100</v>
      </c>
      <c r="C10" s="365"/>
      <c r="D10" s="366"/>
      <c r="E10" s="346"/>
      <c r="F10" s="362" t="s">
        <v>59</v>
      </c>
      <c r="G10" s="346"/>
      <c r="H10" s="354">
        <f>H8*(1-H9)</f>
        <v>0</v>
      </c>
      <c r="I10" s="456">
        <f>I8*(1-I9)</f>
        <v>1376.78</v>
      </c>
      <c r="J10" s="460"/>
      <c r="K10" s="460"/>
    </row>
    <row r="11" ht="20.1" customHeight="1" spans="1:11">
      <c r="A11" s="335" t="s">
        <v>60</v>
      </c>
      <c r="B11" s="367">
        <f>B10*1000*$B$22</f>
        <v>137678000</v>
      </c>
      <c r="C11" s="354"/>
      <c r="D11" s="368"/>
      <c r="E11" s="346"/>
      <c r="F11" s="353" t="s">
        <v>61</v>
      </c>
      <c r="G11" s="346"/>
      <c r="H11" s="369"/>
      <c r="I11" s="461"/>
      <c r="J11" s="460"/>
      <c r="K11" s="460"/>
    </row>
    <row r="12" ht="20.1" customHeight="1" spans="1:11">
      <c r="A12" s="335" t="s">
        <v>62</v>
      </c>
      <c r="B12" s="354">
        <f>B13/20</f>
        <v>125461831.06</v>
      </c>
      <c r="C12" s="370"/>
      <c r="D12" s="371"/>
      <c r="E12" s="346"/>
      <c r="F12" s="353" t="s">
        <v>63</v>
      </c>
      <c r="G12" s="346"/>
      <c r="H12" s="369"/>
      <c r="I12" s="461"/>
      <c r="J12" s="460"/>
      <c r="K12" s="460"/>
    </row>
    <row r="13" ht="20.1" customHeight="1" spans="1:11">
      <c r="A13" s="335" t="s">
        <v>64</v>
      </c>
      <c r="B13" s="354">
        <f>SUM('Cash Flow'!D5,'Cash Flow'!D14)</f>
        <v>2509236621.2</v>
      </c>
      <c r="C13" s="370"/>
      <c r="D13" s="371"/>
      <c r="E13" s="346"/>
      <c r="F13" s="362" t="s">
        <v>65</v>
      </c>
      <c r="G13" s="346"/>
      <c r="H13" s="372">
        <v>0.74</v>
      </c>
      <c r="I13" s="461"/>
      <c r="J13" s="460"/>
      <c r="K13" s="460"/>
    </row>
    <row r="14" ht="20.1" customHeight="1" spans="1:11">
      <c r="A14" s="335" t="s">
        <v>66</v>
      </c>
      <c r="B14" s="373" t="s">
        <v>67</v>
      </c>
      <c r="C14" s="374"/>
      <c r="D14" s="375"/>
      <c r="E14" s="346"/>
      <c r="F14" s="362" t="s">
        <v>68</v>
      </c>
      <c r="G14" s="346"/>
      <c r="H14" s="376">
        <v>0.85</v>
      </c>
      <c r="I14" s="461"/>
      <c r="J14" s="460"/>
      <c r="K14" s="460"/>
    </row>
    <row r="15" ht="26.25" customHeight="1" spans="1:11">
      <c r="A15" s="377" t="s">
        <v>69</v>
      </c>
      <c r="B15" s="378">
        <v>0.0076</v>
      </c>
      <c r="C15" s="379"/>
      <c r="D15" s="351"/>
      <c r="E15" s="346"/>
      <c r="F15" s="362" t="s">
        <v>70</v>
      </c>
      <c r="G15" s="346"/>
      <c r="H15" s="380">
        <f>H13*H14</f>
        <v>0.629</v>
      </c>
      <c r="I15" s="461"/>
      <c r="J15" s="460"/>
      <c r="K15" s="460"/>
    </row>
    <row r="16" ht="26.25" customHeight="1" spans="1:11">
      <c r="A16" s="377" t="s">
        <v>71</v>
      </c>
      <c r="B16" s="378">
        <v>0.0076</v>
      </c>
      <c r="C16" s="379"/>
      <c r="D16" s="351"/>
      <c r="E16" s="346"/>
      <c r="F16" s="362" t="s">
        <v>72</v>
      </c>
      <c r="G16" s="346"/>
      <c r="H16" s="381">
        <v>0</v>
      </c>
      <c r="I16" s="462">
        <f>1-H16</f>
        <v>1</v>
      </c>
      <c r="J16" s="460"/>
      <c r="K16" s="460"/>
    </row>
    <row r="17" ht="30" customHeight="1" spans="1:11">
      <c r="A17" s="330" t="s">
        <v>12</v>
      </c>
      <c r="B17" s="373"/>
      <c r="C17" s="373"/>
      <c r="D17" s="373"/>
      <c r="E17" s="346"/>
      <c r="F17" s="353" t="s">
        <v>73</v>
      </c>
      <c r="G17" s="346"/>
      <c r="H17" s="382"/>
      <c r="I17" s="463"/>
      <c r="J17" s="460"/>
      <c r="K17" s="460"/>
    </row>
    <row r="18" ht="30.75" customHeight="1" spans="1:11">
      <c r="A18" s="335" t="s">
        <v>54</v>
      </c>
      <c r="B18" s="364">
        <v>4.6</v>
      </c>
      <c r="C18" s="383" t="s">
        <v>74</v>
      </c>
      <c r="D18" s="384"/>
      <c r="E18" s="346"/>
      <c r="F18" s="362" t="s">
        <v>75</v>
      </c>
      <c r="G18" s="346"/>
      <c r="H18" s="385"/>
      <c r="I18" s="464">
        <v>0</v>
      </c>
      <c r="J18" s="460"/>
      <c r="K18" s="460"/>
    </row>
    <row r="19" ht="26.25" customHeight="1" spans="1:11">
      <c r="A19" s="335" t="s">
        <v>55</v>
      </c>
      <c r="B19" s="386">
        <v>365</v>
      </c>
      <c r="C19" s="387"/>
      <c r="D19" s="388"/>
      <c r="E19" s="346"/>
      <c r="F19" s="389" t="s">
        <v>76</v>
      </c>
      <c r="G19" s="346"/>
      <c r="H19" s="390">
        <v>0.42</v>
      </c>
      <c r="I19" s="464">
        <v>0.8</v>
      </c>
      <c r="J19" s="460"/>
      <c r="K19" s="460"/>
    </row>
    <row r="20" ht="35.25" customHeight="1" spans="1:11">
      <c r="A20" s="335" t="s">
        <v>56</v>
      </c>
      <c r="B20" s="354">
        <f>B18*B19</f>
        <v>1679</v>
      </c>
      <c r="C20" s="387"/>
      <c r="D20" s="387"/>
      <c r="E20" s="346"/>
      <c r="F20" s="362" t="s">
        <v>77</v>
      </c>
      <c r="G20" s="346"/>
      <c r="H20" s="369"/>
      <c r="I20" s="461">
        <v>0</v>
      </c>
      <c r="J20" s="460"/>
      <c r="K20" s="460"/>
    </row>
    <row r="21" ht="20.1" customHeight="1" spans="1:11">
      <c r="A21" s="335" t="s">
        <v>58</v>
      </c>
      <c r="B21" s="363">
        <v>0.18</v>
      </c>
      <c r="C21" s="388"/>
      <c r="D21" s="388"/>
      <c r="E21" s="346"/>
      <c r="F21" s="362"/>
      <c r="G21" s="346"/>
      <c r="H21" s="391"/>
      <c r="I21" s="465"/>
      <c r="J21" s="460"/>
      <c r="K21" s="460"/>
    </row>
    <row r="22" ht="20.1" customHeight="1" spans="1:11">
      <c r="A22" s="358" t="s">
        <v>78</v>
      </c>
      <c r="B22" s="354">
        <f>H10+I10</f>
        <v>1376.78</v>
      </c>
      <c r="C22" s="392"/>
      <c r="D22" s="392"/>
      <c r="E22" s="346"/>
      <c r="F22" s="353" t="s">
        <v>79</v>
      </c>
      <c r="G22" s="346"/>
      <c r="H22" s="393">
        <v>0</v>
      </c>
      <c r="I22" s="466">
        <v>0</v>
      </c>
      <c r="J22" s="460"/>
      <c r="K22" s="460"/>
    </row>
    <row r="23" ht="31.5" customHeight="1" spans="1:11">
      <c r="A23" s="358"/>
      <c r="B23" s="354"/>
      <c r="C23" s="392"/>
      <c r="D23" s="392"/>
      <c r="E23" s="346"/>
      <c r="F23" s="394" t="s">
        <v>80</v>
      </c>
      <c r="G23" s="346"/>
      <c r="H23" s="395">
        <v>0</v>
      </c>
      <c r="I23" s="467">
        <v>0</v>
      </c>
      <c r="J23" s="460"/>
      <c r="K23" s="460"/>
    </row>
    <row r="24" ht="20.1" customHeight="1" spans="1:11">
      <c r="A24" s="335" t="s">
        <v>14</v>
      </c>
      <c r="B24" s="354">
        <v>20</v>
      </c>
      <c r="C24" s="392"/>
      <c r="D24" s="388"/>
      <c r="E24" s="346"/>
      <c r="F24" s="394" t="s">
        <v>81</v>
      </c>
      <c r="G24" s="346"/>
      <c r="H24" s="395">
        <v>0</v>
      </c>
      <c r="I24" s="468">
        <v>0</v>
      </c>
      <c r="J24" s="460"/>
      <c r="K24" s="460"/>
    </row>
    <row r="25" ht="20.25" customHeight="1" spans="1:11">
      <c r="A25" s="335" t="s">
        <v>15</v>
      </c>
      <c r="B25" s="369">
        <v>0.05</v>
      </c>
      <c r="C25" s="392"/>
      <c r="D25" s="392"/>
      <c r="E25" s="346"/>
      <c r="F25" s="394"/>
      <c r="G25" s="346"/>
      <c r="H25" s="396"/>
      <c r="I25" s="469"/>
      <c r="J25" s="460"/>
      <c r="K25" s="460"/>
    </row>
    <row r="26" ht="20.1" customHeight="1" spans="1:11">
      <c r="A26" s="330" t="s">
        <v>16</v>
      </c>
      <c r="B26" s="397" t="s">
        <v>82</v>
      </c>
      <c r="C26" s="397"/>
      <c r="D26" s="397"/>
      <c r="E26" s="346"/>
      <c r="F26" s="394"/>
      <c r="G26" s="346"/>
      <c r="H26" s="396"/>
      <c r="I26" s="470"/>
      <c r="J26" s="460"/>
      <c r="K26" s="460"/>
    </row>
    <row r="27" ht="20.1" customHeight="1" spans="1:9">
      <c r="A27" s="398" t="s">
        <v>83</v>
      </c>
      <c r="B27" s="399">
        <v>6.25</v>
      </c>
      <c r="C27" s="400"/>
      <c r="D27" s="400"/>
      <c r="E27" s="346"/>
      <c r="F27" s="394"/>
      <c r="G27" s="346"/>
      <c r="H27" s="396"/>
      <c r="I27" s="470"/>
    </row>
    <row r="28" ht="20.1" customHeight="1" spans="1:9">
      <c r="A28" s="398" t="s">
        <v>84</v>
      </c>
      <c r="B28" s="399">
        <v>0.3</v>
      </c>
      <c r="C28" s="400"/>
      <c r="D28" s="400"/>
      <c r="E28" s="346"/>
      <c r="F28" s="394"/>
      <c r="G28" s="346"/>
      <c r="H28" s="396"/>
      <c r="I28" s="452"/>
    </row>
    <row r="29" ht="27.75" customHeight="1" spans="1:9">
      <c r="A29" s="398" t="s">
        <v>85</v>
      </c>
      <c r="B29" s="399">
        <v>0.2</v>
      </c>
      <c r="C29" s="400"/>
      <c r="D29" s="400"/>
      <c r="E29" s="346"/>
      <c r="F29" s="394"/>
      <c r="G29" s="346"/>
      <c r="H29" s="396"/>
      <c r="I29" s="452"/>
    </row>
    <row r="30" ht="27.75" customHeight="1" spans="1:9">
      <c r="A30" s="398" t="s">
        <v>86</v>
      </c>
      <c r="B30" s="399">
        <v>0</v>
      </c>
      <c r="C30" s="400"/>
      <c r="D30" s="400"/>
      <c r="E30" s="346"/>
      <c r="F30" s="394"/>
      <c r="G30" s="346"/>
      <c r="H30" s="396"/>
      <c r="I30" s="452"/>
    </row>
    <row r="31" ht="27.75" customHeight="1" spans="1:9">
      <c r="A31" s="398" t="s">
        <v>87</v>
      </c>
      <c r="B31" s="399">
        <f>4*250000/B10/1000000</f>
        <v>0.01</v>
      </c>
      <c r="C31" s="400"/>
      <c r="D31" s="400"/>
      <c r="E31" s="346"/>
      <c r="F31" s="394"/>
      <c r="G31" s="346"/>
      <c r="H31" s="396"/>
      <c r="I31" s="452"/>
    </row>
    <row r="32" ht="27.75" customHeight="1" spans="1:9">
      <c r="A32" s="398" t="s">
        <v>88</v>
      </c>
      <c r="B32" s="399">
        <f>100000/B10/1000000</f>
        <v>0.001</v>
      </c>
      <c r="C32" s="400"/>
      <c r="D32" s="400"/>
      <c r="E32" s="346"/>
      <c r="F32" s="401"/>
      <c r="G32" s="346"/>
      <c r="H32" s="396"/>
      <c r="I32" s="452"/>
    </row>
    <row r="33" ht="27.75" customHeight="1" spans="1:9">
      <c r="A33" s="398" t="s">
        <v>89</v>
      </c>
      <c r="B33" s="402">
        <f>(B27+B28+B29+B30+B31+B32)*B41*0.5*50%</f>
        <v>0.10986625</v>
      </c>
      <c r="C33" s="400"/>
      <c r="D33" s="400"/>
      <c r="E33" s="346"/>
      <c r="F33" s="394"/>
      <c r="G33" s="346"/>
      <c r="H33" s="396"/>
      <c r="I33" s="452"/>
    </row>
    <row r="34" ht="27.75" customHeight="1" spans="1:9">
      <c r="A34" s="398" t="s">
        <v>90</v>
      </c>
      <c r="B34" s="403">
        <v>0</v>
      </c>
      <c r="C34" s="400"/>
      <c r="D34" s="400"/>
      <c r="E34" s="346"/>
      <c r="F34" s="404" t="s">
        <v>91</v>
      </c>
      <c r="G34" s="346"/>
      <c r="H34" s="405"/>
      <c r="I34" s="470"/>
    </row>
    <row r="35" ht="33" customHeight="1" spans="1:9">
      <c r="A35" s="335" t="s">
        <v>17</v>
      </c>
      <c r="B35" s="406">
        <f>SUM(B27:B34)</f>
        <v>6.87086625</v>
      </c>
      <c r="C35" s="400"/>
      <c r="D35" s="400"/>
      <c r="E35" s="346"/>
      <c r="F35" s="407" t="s">
        <v>92</v>
      </c>
      <c r="G35" s="346"/>
      <c r="H35" s="405"/>
      <c r="I35" s="452"/>
    </row>
    <row r="36" ht="20.1" customHeight="1" spans="1:11">
      <c r="A36" s="330" t="s">
        <v>93</v>
      </c>
      <c r="B36" s="408">
        <f>B35*B10*1000000</f>
        <v>687086625</v>
      </c>
      <c r="C36" s="409"/>
      <c r="D36" s="409"/>
      <c r="E36" s="346"/>
      <c r="F36" s="410" t="s">
        <v>94</v>
      </c>
      <c r="G36" s="346"/>
      <c r="H36" s="405"/>
      <c r="I36" s="470"/>
      <c r="J36" s="449"/>
      <c r="K36" s="449"/>
    </row>
    <row r="37" ht="20.1" customHeight="1" spans="1:9">
      <c r="A37" s="335" t="s">
        <v>95</v>
      </c>
      <c r="B37" s="411">
        <v>0</v>
      </c>
      <c r="C37" s="366"/>
      <c r="D37" s="366"/>
      <c r="E37" s="346"/>
      <c r="F37" s="407" t="s">
        <v>96</v>
      </c>
      <c r="G37" s="346"/>
      <c r="H37" s="396"/>
      <c r="I37" s="470"/>
    </row>
    <row r="38" ht="20.1" customHeight="1" spans="1:11">
      <c r="A38" s="330" t="s">
        <v>18</v>
      </c>
      <c r="B38" s="408">
        <f>B36-B37</f>
        <v>687086625</v>
      </c>
      <c r="C38" s="409">
        <f>B38*0.7/1.17*0.17</f>
        <v>69883169.5512821</v>
      </c>
      <c r="D38" s="352"/>
      <c r="E38" s="346"/>
      <c r="F38" s="407" t="s">
        <v>97</v>
      </c>
      <c r="G38" s="346"/>
      <c r="H38" s="396"/>
      <c r="I38" s="470"/>
      <c r="J38" s="449"/>
      <c r="K38" s="449"/>
    </row>
    <row r="39" ht="20.1" customHeight="1" spans="1:9">
      <c r="A39" s="335" t="s">
        <v>19</v>
      </c>
      <c r="B39" s="412">
        <f>B38*C39</f>
        <v>206125987.5</v>
      </c>
      <c r="C39" s="413">
        <v>0.3</v>
      </c>
      <c r="D39" s="388"/>
      <c r="E39" s="346"/>
      <c r="F39" s="394"/>
      <c r="G39" s="346"/>
      <c r="H39" s="396"/>
      <c r="I39" s="470"/>
    </row>
    <row r="40" ht="20.1" customHeight="1" spans="1:21">
      <c r="A40" s="335" t="s">
        <v>20</v>
      </c>
      <c r="B40" s="412">
        <f>B38-B39</f>
        <v>480960637.5</v>
      </c>
      <c r="C40" s="414">
        <f>1-C39</f>
        <v>0.7</v>
      </c>
      <c r="D40" s="388"/>
      <c r="E40" s="346"/>
      <c r="F40" s="394"/>
      <c r="G40" s="346"/>
      <c r="H40" s="396"/>
      <c r="I40" s="470"/>
      <c r="U40" s="460">
        <v>0</v>
      </c>
    </row>
    <row r="41" ht="20.1" customHeight="1" spans="1:9">
      <c r="A41" s="335" t="s">
        <v>21</v>
      </c>
      <c r="B41" s="415">
        <v>0.065</v>
      </c>
      <c r="C41" s="392" t="s">
        <v>98</v>
      </c>
      <c r="D41" s="388"/>
      <c r="E41" s="346"/>
      <c r="F41" s="404"/>
      <c r="G41" s="346"/>
      <c r="H41" s="396"/>
      <c r="I41" s="470"/>
    </row>
    <row r="42" ht="20.1" customHeight="1" spans="1:9">
      <c r="A42" s="335" t="s">
        <v>22</v>
      </c>
      <c r="B42" s="416">
        <v>15</v>
      </c>
      <c r="C42" s="388"/>
      <c r="D42" s="388"/>
      <c r="E42" s="346"/>
      <c r="F42" s="394" t="s">
        <v>99</v>
      </c>
      <c r="G42" s="346"/>
      <c r="H42" s="417">
        <f>'Cash Flow'!D29/'Cash Flow'!D23</f>
        <v>0.683760683760684</v>
      </c>
      <c r="I42" s="544" t="s">
        <v>100</v>
      </c>
    </row>
    <row r="43" ht="21" customHeight="1" spans="1:9">
      <c r="A43" s="418" t="s">
        <v>23</v>
      </c>
      <c r="B43" s="419" t="s">
        <v>101</v>
      </c>
      <c r="C43" s="420"/>
      <c r="D43" s="352"/>
      <c r="E43" s="346"/>
      <c r="F43" s="421" t="s">
        <v>102</v>
      </c>
      <c r="G43" s="346"/>
      <c r="H43" s="422">
        <f>-SUM('Cash Flow'!D31:D37,'Cash Flow'!D41,'Cash Flow'!D45,'Cash Flow'!D49)/B13</f>
        <v>0.497075873692233</v>
      </c>
      <c r="I43" s="471"/>
    </row>
    <row r="44" ht="21" customHeight="1" spans="1:9">
      <c r="A44" s="423" t="s">
        <v>103</v>
      </c>
      <c r="B44" s="424">
        <f>300*B9</f>
        <v>900000</v>
      </c>
      <c r="C44" s="420"/>
      <c r="D44" s="352"/>
      <c r="E44" s="346"/>
      <c r="F44" s="394" t="s">
        <v>104</v>
      </c>
      <c r="G44" s="346"/>
      <c r="H44" s="425">
        <f>1-H43/H42</f>
        <v>0.27302653472511</v>
      </c>
      <c r="I44" s="471"/>
    </row>
    <row r="45" ht="35.25" customHeight="1" spans="1:9">
      <c r="A45" s="423" t="s">
        <v>105</v>
      </c>
      <c r="B45" s="424">
        <v>0</v>
      </c>
      <c r="C45" s="420"/>
      <c r="D45" s="352"/>
      <c r="E45" s="346"/>
      <c r="F45" s="426" t="s">
        <v>106</v>
      </c>
      <c r="G45" s="346"/>
      <c r="H45" s="333">
        <f>NPV(8%,'Cash Flow'!F70:Z70)</f>
        <v>43883586.6976307</v>
      </c>
      <c r="I45" s="471"/>
    </row>
    <row r="46" ht="30" customHeight="1" spans="1:9">
      <c r="A46" s="423" t="s">
        <v>107</v>
      </c>
      <c r="B46" s="424">
        <f>运维成本!H22-Assump!B49</f>
        <v>4330000</v>
      </c>
      <c r="C46" s="427">
        <v>0.035</v>
      </c>
      <c r="D46" s="352"/>
      <c r="E46" s="346"/>
      <c r="F46" s="394" t="s">
        <v>7</v>
      </c>
      <c r="G46" s="346"/>
      <c r="H46" s="428">
        <f>'Cash Flow'!D73</f>
        <v>7.34757826479322</v>
      </c>
      <c r="I46" s="472"/>
    </row>
    <row r="47" ht="40.5" customHeight="1" spans="1:9">
      <c r="A47" s="423" t="s">
        <v>108</v>
      </c>
      <c r="B47" s="424">
        <f>运维成本!G22-B48</f>
        <v>1414486.61125</v>
      </c>
      <c r="C47" s="429"/>
      <c r="D47" s="352"/>
      <c r="E47" s="346"/>
      <c r="F47" s="430" t="s">
        <v>8</v>
      </c>
      <c r="G47" s="346"/>
      <c r="H47" s="428">
        <f>'Cash Flow'!D85</f>
        <v>4.67535742943973</v>
      </c>
      <c r="I47" s="472"/>
    </row>
    <row r="48" ht="30" customHeight="1" spans="1:9">
      <c r="A48" s="423" t="s">
        <v>109</v>
      </c>
      <c r="B48" s="431">
        <f>(B38-B53)*C48</f>
        <v>185513.38875</v>
      </c>
      <c r="C48" s="432">
        <f>3/10000</f>
        <v>0.0003</v>
      </c>
      <c r="D48" s="352"/>
      <c r="E48" s="346"/>
      <c r="F48" s="394"/>
      <c r="G48" s="346"/>
      <c r="H48" s="433"/>
      <c r="I48" s="472"/>
    </row>
    <row r="49" ht="30" customHeight="1" spans="1:9">
      <c r="A49" s="423" t="s">
        <v>110</v>
      </c>
      <c r="B49" s="424">
        <f>运维成本!E22</f>
        <v>2070000</v>
      </c>
      <c r="C49" s="427">
        <v>0.035</v>
      </c>
      <c r="D49" s="352"/>
      <c r="E49" s="346"/>
      <c r="F49" s="434"/>
      <c r="G49" s="346"/>
      <c r="H49" s="396"/>
      <c r="I49" s="470"/>
    </row>
    <row r="50" ht="23.25" customHeight="1" spans="1:9">
      <c r="A50" s="435" t="s">
        <v>111</v>
      </c>
      <c r="B50" s="436">
        <f>SUM(B44:B49)</f>
        <v>8900000</v>
      </c>
      <c r="C50" s="429"/>
      <c r="D50" s="352"/>
      <c r="E50" s="346"/>
      <c r="F50" s="394"/>
      <c r="G50" s="346"/>
      <c r="H50" s="396"/>
      <c r="I50" s="470"/>
    </row>
    <row r="51" ht="23.25" customHeight="1" spans="1:9">
      <c r="A51" s="423" t="s">
        <v>112</v>
      </c>
      <c r="B51" s="437">
        <f>-'Cash Flow'!D49</f>
        <v>120213138.897501</v>
      </c>
      <c r="C51" s="388"/>
      <c r="D51" s="388"/>
      <c r="E51" s="346"/>
      <c r="F51" s="394"/>
      <c r="G51" s="346"/>
      <c r="H51" s="396"/>
      <c r="I51" s="470"/>
    </row>
    <row r="52" ht="18" customHeight="1" spans="1:9">
      <c r="A52" s="377" t="s">
        <v>113</v>
      </c>
      <c r="B52" s="438">
        <v>0.25</v>
      </c>
      <c r="C52" s="388"/>
      <c r="D52" s="352"/>
      <c r="E52" s="346"/>
      <c r="F52" s="394"/>
      <c r="G52" s="346"/>
      <c r="H52" s="396"/>
      <c r="I52" s="470"/>
    </row>
    <row r="53" ht="18" customHeight="1" spans="1:9">
      <c r="A53" s="398" t="s">
        <v>114</v>
      </c>
      <c r="B53" s="431">
        <f>B36*C53</f>
        <v>68708662.5</v>
      </c>
      <c r="C53" s="414">
        <v>0.1</v>
      </c>
      <c r="D53" s="352"/>
      <c r="E53" s="346"/>
      <c r="F53" s="394"/>
      <c r="G53" s="346"/>
      <c r="H53" s="396"/>
      <c r="I53" s="470"/>
    </row>
    <row r="54" ht="18" customHeight="1" spans="1:9">
      <c r="A54" s="398" t="s">
        <v>115</v>
      </c>
      <c r="B54" s="438">
        <v>0.1</v>
      </c>
      <c r="C54" s="352"/>
      <c r="D54" s="352"/>
      <c r="E54" s="346"/>
      <c r="F54" s="394"/>
      <c r="G54" s="346"/>
      <c r="H54" s="396"/>
      <c r="I54" s="470"/>
    </row>
    <row r="55" ht="18" customHeight="1" spans="1:9">
      <c r="A55" s="439" t="s">
        <v>116</v>
      </c>
      <c r="B55" s="440">
        <v>0.17</v>
      </c>
      <c r="C55" s="441"/>
      <c r="D55" s="442"/>
      <c r="E55" s="443"/>
      <c r="F55" s="442"/>
      <c r="G55" s="443"/>
      <c r="H55" s="444"/>
      <c r="I55" s="473"/>
    </row>
    <row r="56" spans="1:3">
      <c r="A56" s="336"/>
      <c r="B56" s="445"/>
      <c r="C56" s="446"/>
    </row>
    <row r="66" spans="3:3">
      <c r="C66" s="474"/>
    </row>
  </sheetData>
  <sheetProtection formatCells="0" insertHyperlinks="0" autoFilter="0"/>
  <mergeCells count="15">
    <mergeCell ref="A1:I1"/>
    <mergeCell ref="A2:D2"/>
    <mergeCell ref="C3:D3"/>
    <mergeCell ref="B17:D17"/>
    <mergeCell ref="B26:D26"/>
    <mergeCell ref="A7:A8"/>
    <mergeCell ref="A22:A23"/>
    <mergeCell ref="B22:B23"/>
    <mergeCell ref="C22:C23"/>
    <mergeCell ref="D22:D23"/>
    <mergeCell ref="E2:E55"/>
    <mergeCell ref="F3:F4"/>
    <mergeCell ref="G2:G55"/>
    <mergeCell ref="I42:I45"/>
    <mergeCell ref="B7:D8"/>
  </mergeCells>
  <pageMargins left="0.0388888888888889" right="0.0388888888888889" top="0.747916666666667" bottom="0.747916666666667" header="0.314583333333333" footer="0.314583333333333"/>
  <pageSetup paperSize="9" scale="9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workbookViewId="0">
      <selection activeCell="C12" sqref="C12"/>
    </sheetView>
  </sheetViews>
  <sheetFormatPr defaultColWidth="9" defaultRowHeight="14.1" outlineLevelCol="1"/>
  <cols>
    <col min="1" max="1" width="37.3783783783784" style="329" customWidth="1"/>
    <col min="2" max="2" width="15.6216216216216" customWidth="1"/>
  </cols>
  <sheetData>
    <row r="1" spans="1:2">
      <c r="A1" s="330" t="s">
        <v>4</v>
      </c>
      <c r="B1" s="331"/>
    </row>
    <row r="2" spans="1:2">
      <c r="A2" s="330" t="s">
        <v>5</v>
      </c>
      <c r="B2" s="331"/>
    </row>
    <row r="3" spans="1:2">
      <c r="A3" s="332" t="s">
        <v>2</v>
      </c>
      <c r="B3" s="333"/>
    </row>
    <row r="4" spans="1:1">
      <c r="A4" s="330" t="s">
        <v>4</v>
      </c>
    </row>
    <row r="5" spans="1:1">
      <c r="A5" s="330" t="s">
        <v>5</v>
      </c>
    </row>
    <row r="6" spans="1:1">
      <c r="A6" s="330" t="s">
        <v>53</v>
      </c>
    </row>
    <row r="7" spans="1:1">
      <c r="A7" s="334" t="s">
        <v>9</v>
      </c>
    </row>
    <row r="8" spans="1:1">
      <c r="A8" s="330" t="s">
        <v>57</v>
      </c>
    </row>
    <row r="9" spans="1:1">
      <c r="A9" s="330" t="s">
        <v>11</v>
      </c>
    </row>
    <row r="10" spans="1:1">
      <c r="A10" s="330" t="s">
        <v>60</v>
      </c>
    </row>
    <row r="11" spans="1:1">
      <c r="A11" s="335" t="s">
        <v>62</v>
      </c>
    </row>
    <row r="12" spans="1:1">
      <c r="A12" s="335" t="s">
        <v>64</v>
      </c>
    </row>
    <row r="13" spans="1:1">
      <c r="A13" s="330" t="s">
        <v>66</v>
      </c>
    </row>
    <row r="14" ht="25.5" customHeight="1" spans="1:1">
      <c r="A14" s="330" t="s">
        <v>69</v>
      </c>
    </row>
    <row r="15" ht="25.5" customHeight="1" spans="1:1">
      <c r="A15" s="330" t="s">
        <v>71</v>
      </c>
    </row>
    <row r="16" spans="1:1">
      <c r="A16" s="330" t="s">
        <v>12</v>
      </c>
    </row>
    <row r="17" ht="25.5" customHeight="1" spans="1:1">
      <c r="A17" s="330" t="s">
        <v>54</v>
      </c>
    </row>
    <row r="18" spans="1:1">
      <c r="A18" s="330" t="s">
        <v>55</v>
      </c>
    </row>
    <row r="19" ht="25.5" customHeight="1" spans="1:1">
      <c r="A19" s="330" t="s">
        <v>56</v>
      </c>
    </row>
    <row r="20" spans="1:1">
      <c r="A20" s="330" t="s">
        <v>58</v>
      </c>
    </row>
    <row r="21" spans="1:1">
      <c r="A21" s="330" t="s">
        <v>78</v>
      </c>
    </row>
    <row r="22" spans="1:1">
      <c r="A22" s="330"/>
    </row>
    <row r="23" spans="1:1">
      <c r="A23" s="330" t="s">
        <v>14</v>
      </c>
    </row>
    <row r="24" spans="1:1">
      <c r="A24" s="330" t="s">
        <v>15</v>
      </c>
    </row>
    <row r="25" spans="1:1">
      <c r="A25" s="330" t="s">
        <v>16</v>
      </c>
    </row>
    <row r="26" spans="1:1">
      <c r="A26" s="330" t="s">
        <v>83</v>
      </c>
    </row>
    <row r="27" spans="1:1">
      <c r="A27" s="330" t="s">
        <v>84</v>
      </c>
    </row>
    <row r="28" ht="25.5" customHeight="1" spans="1:1">
      <c r="A28" s="330" t="s">
        <v>85</v>
      </c>
    </row>
    <row r="29" spans="1:1">
      <c r="A29" s="330" t="s">
        <v>86</v>
      </c>
    </row>
    <row r="30" spans="1:1">
      <c r="A30" s="330" t="s">
        <v>87</v>
      </c>
    </row>
    <row r="31" spans="1:1">
      <c r="A31" s="330" t="s">
        <v>88</v>
      </c>
    </row>
    <row r="32" spans="1:1">
      <c r="A32" s="330" t="s">
        <v>89</v>
      </c>
    </row>
    <row r="33" spans="1:1">
      <c r="A33" s="330" t="s">
        <v>90</v>
      </c>
    </row>
    <row r="34" spans="1:1">
      <c r="A34" s="330" t="s">
        <v>17</v>
      </c>
    </row>
    <row r="35" spans="1:1">
      <c r="A35" s="330" t="s">
        <v>93</v>
      </c>
    </row>
    <row r="36" spans="1:1">
      <c r="A36" s="330" t="s">
        <v>95</v>
      </c>
    </row>
    <row r="37" spans="1:1">
      <c r="A37" s="330" t="s">
        <v>18</v>
      </c>
    </row>
    <row r="38" spans="1:1">
      <c r="A38" s="330" t="s">
        <v>19</v>
      </c>
    </row>
    <row r="39" spans="1:1">
      <c r="A39" s="330" t="s">
        <v>20</v>
      </c>
    </row>
    <row r="40" spans="1:1">
      <c r="A40" s="330" t="s">
        <v>21</v>
      </c>
    </row>
    <row r="41" spans="1:1">
      <c r="A41" s="330" t="s">
        <v>22</v>
      </c>
    </row>
    <row r="42" spans="1:1">
      <c r="A42" s="330" t="s">
        <v>23</v>
      </c>
    </row>
    <row r="43" spans="1:1">
      <c r="A43" s="330" t="s">
        <v>103</v>
      </c>
    </row>
    <row r="44" spans="1:1">
      <c r="A44" s="330" t="s">
        <v>105</v>
      </c>
    </row>
    <row r="45" spans="1:1">
      <c r="A45" s="330" t="s">
        <v>107</v>
      </c>
    </row>
    <row r="46" ht="25.5" customHeight="1" spans="1:1">
      <c r="A46" s="330" t="s">
        <v>108</v>
      </c>
    </row>
    <row r="47" spans="1:1">
      <c r="A47" s="330" t="s">
        <v>109</v>
      </c>
    </row>
    <row r="48" spans="1:1">
      <c r="A48" s="330" t="s">
        <v>110</v>
      </c>
    </row>
    <row r="49" spans="1:1">
      <c r="A49" s="330" t="s">
        <v>111</v>
      </c>
    </row>
    <row r="50" spans="1:1">
      <c r="A50" s="330" t="s">
        <v>112</v>
      </c>
    </row>
    <row r="51" spans="1:1">
      <c r="A51" s="330" t="s">
        <v>113</v>
      </c>
    </row>
    <row r="52" spans="1:1">
      <c r="A52" s="330" t="s">
        <v>114</v>
      </c>
    </row>
    <row r="53" spans="1:1">
      <c r="A53" s="330" t="s">
        <v>115</v>
      </c>
    </row>
    <row r="54" spans="1:1">
      <c r="A54" s="330" t="s">
        <v>116</v>
      </c>
    </row>
    <row r="55" spans="1:1">
      <c r="A55" s="336"/>
    </row>
  </sheetData>
  <sheetProtection formatCells="0" insertHyperlinks="0" autoFilter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9"/>
  <sheetViews>
    <sheetView view="pageBreakPreview" zoomScaleNormal="80" topLeftCell="R41" workbookViewId="0">
      <selection activeCell="G54" sqref="G54"/>
    </sheetView>
  </sheetViews>
  <sheetFormatPr defaultColWidth="9.12612612612613" defaultRowHeight="12"/>
  <cols>
    <col min="1" max="1" width="22.3783783783784" style="177" customWidth="1"/>
    <col min="2" max="2" width="14" style="178" customWidth="1"/>
    <col min="3" max="3" width="2" style="179" customWidth="1"/>
    <col min="4" max="4" width="17.1261261261261" style="180" customWidth="1"/>
    <col min="5" max="5" width="2.74774774774775" style="174" customWidth="1"/>
    <col min="6" max="6" width="15.3783783783784" style="180" customWidth="1"/>
    <col min="7" max="7" width="13.7477477477477" style="180" customWidth="1"/>
    <col min="8" max="25" width="14.2522522522523" style="180" customWidth="1"/>
    <col min="26" max="26" width="14.7477477477477" style="180" customWidth="1"/>
    <col min="27" max="31" width="13.5045045045045" style="180" hidden="1" customWidth="1"/>
    <col min="32" max="32" width="12" style="177" customWidth="1"/>
    <col min="33" max="16384" width="9.12612612612613" style="177"/>
  </cols>
  <sheetData>
    <row r="1" ht="18.4" spans="1:31">
      <c r="A1" s="181" t="s">
        <v>117</v>
      </c>
      <c r="B1" s="182"/>
      <c r="C1" s="183"/>
      <c r="D1" s="184">
        <f>12*4.25*1.5</f>
        <v>76.5</v>
      </c>
      <c r="E1" s="183"/>
      <c r="H1" s="185">
        <v>-0.025</v>
      </c>
      <c r="I1" s="185">
        <v>-0.0076</v>
      </c>
      <c r="J1" s="185">
        <v>-0.0076</v>
      </c>
      <c r="K1" s="185">
        <v>-0.0076</v>
      </c>
      <c r="L1" s="185">
        <v>-0.0076</v>
      </c>
      <c r="M1" s="185">
        <v>-0.0076</v>
      </c>
      <c r="N1" s="185">
        <v>-0.0076</v>
      </c>
      <c r="O1" s="185">
        <v>-0.0076</v>
      </c>
      <c r="P1" s="185">
        <v>-0.0076</v>
      </c>
      <c r="Q1" s="185">
        <v>-0.0076</v>
      </c>
      <c r="R1" s="185">
        <v>-0.0076</v>
      </c>
      <c r="S1" s="185">
        <v>-0.0076</v>
      </c>
      <c r="T1" s="185">
        <v>-0.0076</v>
      </c>
      <c r="U1" s="185">
        <v>-0.0076</v>
      </c>
      <c r="V1" s="185">
        <v>-0.0076</v>
      </c>
      <c r="W1" s="185">
        <v>-0.0076</v>
      </c>
      <c r="X1" s="185">
        <v>-0.0076</v>
      </c>
      <c r="Y1" s="185">
        <v>-0.0076</v>
      </c>
      <c r="Z1" s="185">
        <v>-0.0076</v>
      </c>
      <c r="AA1" s="185">
        <v>-0.0076</v>
      </c>
      <c r="AB1" s="185">
        <v>-0.0076</v>
      </c>
      <c r="AC1" s="185">
        <v>-0.0076</v>
      </c>
      <c r="AD1" s="185">
        <v>-0.0076</v>
      </c>
      <c r="AE1" s="185">
        <v>-0.0076</v>
      </c>
    </row>
    <row r="2" s="166" customFormat="1" spans="1:31">
      <c r="A2" s="186"/>
      <c r="B2" s="187"/>
      <c r="C2" s="188"/>
      <c r="D2" s="189" t="s">
        <v>118</v>
      </c>
      <c r="E2" s="190"/>
      <c r="F2" s="189">
        <v>0</v>
      </c>
      <c r="G2" s="189">
        <f t="shared" ref="G2:AE2" si="0">F2+1</f>
        <v>1</v>
      </c>
      <c r="H2" s="189">
        <f t="shared" si="0"/>
        <v>2</v>
      </c>
      <c r="I2" s="189">
        <f t="shared" si="0"/>
        <v>3</v>
      </c>
      <c r="J2" s="189">
        <f t="shared" si="0"/>
        <v>4</v>
      </c>
      <c r="K2" s="189">
        <f t="shared" si="0"/>
        <v>5</v>
      </c>
      <c r="L2" s="189">
        <f t="shared" si="0"/>
        <v>6</v>
      </c>
      <c r="M2" s="189">
        <f t="shared" si="0"/>
        <v>7</v>
      </c>
      <c r="N2" s="189">
        <f t="shared" si="0"/>
        <v>8</v>
      </c>
      <c r="O2" s="189">
        <f t="shared" si="0"/>
        <v>9</v>
      </c>
      <c r="P2" s="189">
        <f t="shared" si="0"/>
        <v>10</v>
      </c>
      <c r="Q2" s="189">
        <f t="shared" si="0"/>
        <v>11</v>
      </c>
      <c r="R2" s="189">
        <f t="shared" si="0"/>
        <v>12</v>
      </c>
      <c r="S2" s="189">
        <f t="shared" si="0"/>
        <v>13</v>
      </c>
      <c r="T2" s="189">
        <f t="shared" si="0"/>
        <v>14</v>
      </c>
      <c r="U2" s="189">
        <f t="shared" si="0"/>
        <v>15</v>
      </c>
      <c r="V2" s="189">
        <f t="shared" si="0"/>
        <v>16</v>
      </c>
      <c r="W2" s="189">
        <f t="shared" si="0"/>
        <v>17</v>
      </c>
      <c r="X2" s="189">
        <f t="shared" si="0"/>
        <v>18</v>
      </c>
      <c r="Y2" s="189">
        <f t="shared" si="0"/>
        <v>19</v>
      </c>
      <c r="Z2" s="189">
        <f t="shared" si="0"/>
        <v>20</v>
      </c>
      <c r="AA2" s="189">
        <f t="shared" si="0"/>
        <v>21</v>
      </c>
      <c r="AB2" s="189">
        <f t="shared" si="0"/>
        <v>22</v>
      </c>
      <c r="AC2" s="189">
        <f t="shared" si="0"/>
        <v>23</v>
      </c>
      <c r="AD2" s="189">
        <f t="shared" si="0"/>
        <v>24</v>
      </c>
      <c r="AE2" s="189">
        <f t="shared" si="0"/>
        <v>25</v>
      </c>
    </row>
    <row r="3" spans="1:31">
      <c r="A3" s="191"/>
      <c r="C3" s="192"/>
      <c r="D3" s="193"/>
      <c r="E3" s="192"/>
      <c r="F3" s="193"/>
      <c r="G3" s="194">
        <f>100%</f>
        <v>1</v>
      </c>
      <c r="H3" s="194">
        <f>G3+H1</f>
        <v>0.975</v>
      </c>
      <c r="I3" s="194">
        <f t="shared" ref="I3:AE3" si="1">H3+I1</f>
        <v>0.9674</v>
      </c>
      <c r="J3" s="194">
        <f t="shared" si="1"/>
        <v>0.9598</v>
      </c>
      <c r="K3" s="194">
        <f t="shared" si="1"/>
        <v>0.9522</v>
      </c>
      <c r="L3" s="194">
        <f t="shared" si="1"/>
        <v>0.9446</v>
      </c>
      <c r="M3" s="194">
        <f t="shared" si="1"/>
        <v>0.937</v>
      </c>
      <c r="N3" s="194">
        <f t="shared" si="1"/>
        <v>0.9294</v>
      </c>
      <c r="O3" s="194">
        <f t="shared" si="1"/>
        <v>0.9218</v>
      </c>
      <c r="P3" s="194">
        <f t="shared" si="1"/>
        <v>0.9142</v>
      </c>
      <c r="Q3" s="194">
        <f t="shared" si="1"/>
        <v>0.9066</v>
      </c>
      <c r="R3" s="194">
        <f t="shared" si="1"/>
        <v>0.898999999999999</v>
      </c>
      <c r="S3" s="194">
        <f t="shared" si="1"/>
        <v>0.891399999999999</v>
      </c>
      <c r="T3" s="194">
        <f t="shared" si="1"/>
        <v>0.883799999999999</v>
      </c>
      <c r="U3" s="194">
        <f t="shared" si="1"/>
        <v>0.876199999999999</v>
      </c>
      <c r="V3" s="194">
        <f t="shared" si="1"/>
        <v>0.868599999999999</v>
      </c>
      <c r="W3" s="194">
        <f t="shared" si="1"/>
        <v>0.860999999999999</v>
      </c>
      <c r="X3" s="194">
        <f t="shared" si="1"/>
        <v>0.853399999999999</v>
      </c>
      <c r="Y3" s="194">
        <f t="shared" si="1"/>
        <v>0.845799999999999</v>
      </c>
      <c r="Z3" s="194">
        <f t="shared" si="1"/>
        <v>0.838199999999999</v>
      </c>
      <c r="AA3" s="194">
        <f t="shared" si="1"/>
        <v>0.830599999999999</v>
      </c>
      <c r="AB3" s="194">
        <f t="shared" si="1"/>
        <v>0.822999999999999</v>
      </c>
      <c r="AC3" s="194">
        <f t="shared" si="1"/>
        <v>0.815399999999999</v>
      </c>
      <c r="AD3" s="194">
        <f t="shared" si="1"/>
        <v>0.807799999999999</v>
      </c>
      <c r="AE3" s="194">
        <f t="shared" si="1"/>
        <v>0.800199999999999</v>
      </c>
    </row>
    <row r="4" ht="15" customHeight="1" spans="1:31">
      <c r="A4" s="195" t="s">
        <v>119</v>
      </c>
      <c r="C4" s="196"/>
      <c r="D4" s="197"/>
      <c r="E4" s="196"/>
      <c r="F4" s="198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</row>
    <row r="5" ht="15" customHeight="1" spans="1:31">
      <c r="A5" s="191" t="s">
        <v>120</v>
      </c>
      <c r="C5" s="192"/>
      <c r="D5" s="199">
        <f>SUM(F5:Z5)</f>
        <v>0</v>
      </c>
      <c r="E5" s="192"/>
      <c r="F5" s="193"/>
      <c r="G5" s="199">
        <f>Assump!B11*'Cash Flow'!B6</f>
        <v>0</v>
      </c>
      <c r="H5" s="200">
        <f>$G$5*H3</f>
        <v>0</v>
      </c>
      <c r="I5" s="200">
        <f t="shared" ref="I5:AE5" si="2">$G$5*I3</f>
        <v>0</v>
      </c>
      <c r="J5" s="200">
        <f t="shared" si="2"/>
        <v>0</v>
      </c>
      <c r="K5" s="200">
        <f t="shared" si="2"/>
        <v>0</v>
      </c>
      <c r="L5" s="200">
        <f t="shared" si="2"/>
        <v>0</v>
      </c>
      <c r="M5" s="200">
        <f t="shared" si="2"/>
        <v>0</v>
      </c>
      <c r="N5" s="200">
        <f t="shared" si="2"/>
        <v>0</v>
      </c>
      <c r="O5" s="200">
        <f t="shared" si="2"/>
        <v>0</v>
      </c>
      <c r="P5" s="200">
        <f t="shared" si="2"/>
        <v>0</v>
      </c>
      <c r="Q5" s="200">
        <f t="shared" si="2"/>
        <v>0</v>
      </c>
      <c r="R5" s="200">
        <f t="shared" si="2"/>
        <v>0</v>
      </c>
      <c r="S5" s="200">
        <f t="shared" si="2"/>
        <v>0</v>
      </c>
      <c r="T5" s="200">
        <f t="shared" si="2"/>
        <v>0</v>
      </c>
      <c r="U5" s="200">
        <f t="shared" si="2"/>
        <v>0</v>
      </c>
      <c r="V5" s="200">
        <f t="shared" si="2"/>
        <v>0</v>
      </c>
      <c r="W5" s="200">
        <f t="shared" si="2"/>
        <v>0</v>
      </c>
      <c r="X5" s="200">
        <f t="shared" si="2"/>
        <v>0</v>
      </c>
      <c r="Y5" s="200">
        <f t="shared" si="2"/>
        <v>0</v>
      </c>
      <c r="Z5" s="200">
        <f t="shared" si="2"/>
        <v>0</v>
      </c>
      <c r="AA5" s="200">
        <f t="shared" si="2"/>
        <v>0</v>
      </c>
      <c r="AB5" s="200">
        <f t="shared" si="2"/>
        <v>0</v>
      </c>
      <c r="AC5" s="200">
        <f t="shared" si="2"/>
        <v>0</v>
      </c>
      <c r="AD5" s="200">
        <f t="shared" si="2"/>
        <v>0</v>
      </c>
      <c r="AE5" s="200">
        <f t="shared" si="2"/>
        <v>0</v>
      </c>
    </row>
    <row r="6" ht="15" customHeight="1" spans="1:31">
      <c r="A6" s="201" t="s">
        <v>121</v>
      </c>
      <c r="B6" s="202">
        <f>Assump!H16</f>
        <v>0</v>
      </c>
      <c r="C6" s="192"/>
      <c r="D6" s="199"/>
      <c r="E6" s="192"/>
      <c r="F6" s="193"/>
      <c r="G6" s="203">
        <f>B6</f>
        <v>0</v>
      </c>
      <c r="H6" s="203">
        <f>G6</f>
        <v>0</v>
      </c>
      <c r="I6" s="203">
        <f t="shared" ref="I6:AE6" si="3">H6</f>
        <v>0</v>
      </c>
      <c r="J6" s="203">
        <f t="shared" si="3"/>
        <v>0</v>
      </c>
      <c r="K6" s="203">
        <f t="shared" si="3"/>
        <v>0</v>
      </c>
      <c r="L6" s="203">
        <f t="shared" si="3"/>
        <v>0</v>
      </c>
      <c r="M6" s="203">
        <f t="shared" si="3"/>
        <v>0</v>
      </c>
      <c r="N6" s="203">
        <f t="shared" si="3"/>
        <v>0</v>
      </c>
      <c r="O6" s="203">
        <f t="shared" si="3"/>
        <v>0</v>
      </c>
      <c r="P6" s="203">
        <f t="shared" si="3"/>
        <v>0</v>
      </c>
      <c r="Q6" s="203">
        <f t="shared" si="3"/>
        <v>0</v>
      </c>
      <c r="R6" s="203">
        <f t="shared" si="3"/>
        <v>0</v>
      </c>
      <c r="S6" s="203">
        <f t="shared" si="3"/>
        <v>0</v>
      </c>
      <c r="T6" s="203">
        <f t="shared" si="3"/>
        <v>0</v>
      </c>
      <c r="U6" s="203">
        <f t="shared" si="3"/>
        <v>0</v>
      </c>
      <c r="V6" s="203">
        <f t="shared" si="3"/>
        <v>0</v>
      </c>
      <c r="W6" s="203">
        <f t="shared" si="3"/>
        <v>0</v>
      </c>
      <c r="X6" s="203">
        <f t="shared" si="3"/>
        <v>0</v>
      </c>
      <c r="Y6" s="203">
        <f t="shared" si="3"/>
        <v>0</v>
      </c>
      <c r="Z6" s="203">
        <f t="shared" si="3"/>
        <v>0</v>
      </c>
      <c r="AA6" s="203">
        <f t="shared" si="3"/>
        <v>0</v>
      </c>
      <c r="AB6" s="203">
        <f t="shared" si="3"/>
        <v>0</v>
      </c>
      <c r="AC6" s="203">
        <f t="shared" si="3"/>
        <v>0</v>
      </c>
      <c r="AD6" s="203">
        <f t="shared" si="3"/>
        <v>0</v>
      </c>
      <c r="AE6" s="203">
        <f t="shared" si="3"/>
        <v>0</v>
      </c>
    </row>
    <row r="7" ht="15" customHeight="1" spans="1:31">
      <c r="A7" s="191" t="s">
        <v>122</v>
      </c>
      <c r="B7" s="204">
        <f>Assump!H15</f>
        <v>0.629</v>
      </c>
      <c r="C7" s="192"/>
      <c r="D7" s="205"/>
      <c r="E7" s="192"/>
      <c r="F7" s="193"/>
      <c r="G7" s="205">
        <f t="shared" ref="G7:G11" si="4">B7</f>
        <v>0.629</v>
      </c>
      <c r="H7" s="205">
        <f>G7</f>
        <v>0.629</v>
      </c>
      <c r="I7" s="205">
        <f t="shared" ref="I7:Z7" si="5">H7</f>
        <v>0.629</v>
      </c>
      <c r="J7" s="205">
        <f t="shared" si="5"/>
        <v>0.629</v>
      </c>
      <c r="K7" s="205">
        <f t="shared" si="5"/>
        <v>0.629</v>
      </c>
      <c r="L7" s="205">
        <f t="shared" si="5"/>
        <v>0.629</v>
      </c>
      <c r="M7" s="205">
        <f t="shared" si="5"/>
        <v>0.629</v>
      </c>
      <c r="N7" s="205">
        <f t="shared" si="5"/>
        <v>0.629</v>
      </c>
      <c r="O7" s="205">
        <f t="shared" si="5"/>
        <v>0.629</v>
      </c>
      <c r="P7" s="205">
        <f t="shared" si="5"/>
        <v>0.629</v>
      </c>
      <c r="Q7" s="205">
        <f t="shared" si="5"/>
        <v>0.629</v>
      </c>
      <c r="R7" s="205">
        <f t="shared" si="5"/>
        <v>0.629</v>
      </c>
      <c r="S7" s="205">
        <f t="shared" si="5"/>
        <v>0.629</v>
      </c>
      <c r="T7" s="205">
        <f t="shared" si="5"/>
        <v>0.629</v>
      </c>
      <c r="U7" s="205">
        <f t="shared" si="5"/>
        <v>0.629</v>
      </c>
      <c r="V7" s="205">
        <f t="shared" si="5"/>
        <v>0.629</v>
      </c>
      <c r="W7" s="205">
        <f t="shared" si="5"/>
        <v>0.629</v>
      </c>
      <c r="X7" s="205">
        <f t="shared" si="5"/>
        <v>0.629</v>
      </c>
      <c r="Y7" s="205">
        <f t="shared" si="5"/>
        <v>0.629</v>
      </c>
      <c r="Z7" s="205">
        <f t="shared" si="5"/>
        <v>0.629</v>
      </c>
      <c r="AA7" s="205">
        <f t="shared" ref="AA7:AE7" si="6">V7</f>
        <v>0.629</v>
      </c>
      <c r="AB7" s="205">
        <f t="shared" si="6"/>
        <v>0.629</v>
      </c>
      <c r="AC7" s="205">
        <f t="shared" si="6"/>
        <v>0.629</v>
      </c>
      <c r="AD7" s="205">
        <f t="shared" si="6"/>
        <v>0.629</v>
      </c>
      <c r="AE7" s="205">
        <f t="shared" si="6"/>
        <v>0.629</v>
      </c>
    </row>
    <row r="8" ht="15" customHeight="1" spans="1:31">
      <c r="A8" s="201" t="s">
        <v>123</v>
      </c>
      <c r="B8" s="204">
        <f>Assump!H19</f>
        <v>0.42</v>
      </c>
      <c r="C8" s="192"/>
      <c r="D8" s="205"/>
      <c r="E8" s="192"/>
      <c r="F8" s="193"/>
      <c r="G8" s="205">
        <f t="shared" si="4"/>
        <v>0.42</v>
      </c>
      <c r="H8" s="205">
        <f>G8</f>
        <v>0.42</v>
      </c>
      <c r="I8" s="205">
        <f t="shared" ref="I8:Z9" si="7">H8</f>
        <v>0.42</v>
      </c>
      <c r="J8" s="205">
        <f t="shared" si="7"/>
        <v>0.42</v>
      </c>
      <c r="K8" s="205">
        <f t="shared" si="7"/>
        <v>0.42</v>
      </c>
      <c r="L8" s="205">
        <f t="shared" si="7"/>
        <v>0.42</v>
      </c>
      <c r="M8" s="205">
        <f t="shared" si="7"/>
        <v>0.42</v>
      </c>
      <c r="N8" s="205">
        <f t="shared" si="7"/>
        <v>0.42</v>
      </c>
      <c r="O8" s="205">
        <f t="shared" si="7"/>
        <v>0.42</v>
      </c>
      <c r="P8" s="205">
        <f t="shared" si="7"/>
        <v>0.42</v>
      </c>
      <c r="Q8" s="205">
        <f t="shared" si="7"/>
        <v>0.42</v>
      </c>
      <c r="R8" s="205">
        <f t="shared" si="7"/>
        <v>0.42</v>
      </c>
      <c r="S8" s="205">
        <f t="shared" si="7"/>
        <v>0.42</v>
      </c>
      <c r="T8" s="205">
        <f t="shared" si="7"/>
        <v>0.42</v>
      </c>
      <c r="U8" s="205">
        <f t="shared" si="7"/>
        <v>0.42</v>
      </c>
      <c r="V8" s="205">
        <f t="shared" si="7"/>
        <v>0.42</v>
      </c>
      <c r="W8" s="205">
        <f t="shared" si="7"/>
        <v>0.42</v>
      </c>
      <c r="X8" s="205">
        <f t="shared" si="7"/>
        <v>0.42</v>
      </c>
      <c r="Y8" s="205">
        <f t="shared" si="7"/>
        <v>0.42</v>
      </c>
      <c r="Z8" s="205">
        <f t="shared" si="7"/>
        <v>0.42</v>
      </c>
      <c r="AA8" s="205"/>
      <c r="AB8" s="205"/>
      <c r="AC8" s="205"/>
      <c r="AD8" s="205"/>
      <c r="AE8" s="205"/>
    </row>
    <row r="9" s="167" customFormat="1" ht="15" customHeight="1" spans="1:31">
      <c r="A9" s="206" t="s">
        <v>79</v>
      </c>
      <c r="B9" s="207">
        <f>Assump!H22</f>
        <v>0</v>
      </c>
      <c r="C9" s="192"/>
      <c r="D9" s="205"/>
      <c r="E9" s="192"/>
      <c r="F9" s="193"/>
      <c r="G9" s="208">
        <f t="shared" si="4"/>
        <v>0</v>
      </c>
      <c r="H9" s="208">
        <f>G9</f>
        <v>0</v>
      </c>
      <c r="I9" s="208">
        <f t="shared" si="7"/>
        <v>0</v>
      </c>
      <c r="J9" s="208">
        <f t="shared" si="7"/>
        <v>0</v>
      </c>
      <c r="K9" s="208">
        <f t="shared" si="7"/>
        <v>0</v>
      </c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</row>
    <row r="10" s="167" customFormat="1" ht="15" customHeight="1" spans="1:31">
      <c r="A10" s="206" t="s">
        <v>80</v>
      </c>
      <c r="B10" s="207">
        <v>0</v>
      </c>
      <c r="C10" s="192"/>
      <c r="D10" s="205"/>
      <c r="E10" s="192"/>
      <c r="F10" s="193"/>
      <c r="G10" s="208">
        <f t="shared" si="4"/>
        <v>0</v>
      </c>
      <c r="H10" s="208">
        <f t="shared" ref="H10:K11" si="8">G10</f>
        <v>0</v>
      </c>
      <c r="I10" s="208">
        <f t="shared" si="8"/>
        <v>0</v>
      </c>
      <c r="J10" s="208">
        <f t="shared" si="8"/>
        <v>0</v>
      </c>
      <c r="K10" s="208">
        <f t="shared" si="8"/>
        <v>0</v>
      </c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</row>
    <row r="11" s="167" customFormat="1" ht="15" customHeight="1" spans="1:31">
      <c r="A11" s="206" t="s">
        <v>81</v>
      </c>
      <c r="B11" s="207">
        <f>Assump!H24</f>
        <v>0</v>
      </c>
      <c r="C11" s="192"/>
      <c r="D11" s="205"/>
      <c r="E11" s="192"/>
      <c r="F11" s="193"/>
      <c r="G11" s="208">
        <f t="shared" si="4"/>
        <v>0</v>
      </c>
      <c r="H11" s="208">
        <f t="shared" si="8"/>
        <v>0</v>
      </c>
      <c r="I11" s="208">
        <f t="shared" si="8"/>
        <v>0</v>
      </c>
      <c r="J11" s="208">
        <f t="shared" si="8"/>
        <v>0</v>
      </c>
      <c r="K11" s="208">
        <f t="shared" si="8"/>
        <v>0</v>
      </c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</row>
    <row r="12" ht="15" customHeight="1" spans="1:31">
      <c r="A12" s="191" t="s">
        <v>124</v>
      </c>
      <c r="C12" s="192"/>
      <c r="D12" s="199">
        <f>SUM(F12:Z12)</f>
        <v>0</v>
      </c>
      <c r="E12" s="192"/>
      <c r="F12" s="193"/>
      <c r="G12" s="199">
        <f>G5*SUM(G7:G11)</f>
        <v>0</v>
      </c>
      <c r="H12" s="199">
        <f t="shared" ref="H12:J12" si="9">H5*SUM(H7:H11)</f>
        <v>0</v>
      </c>
      <c r="I12" s="199">
        <f t="shared" si="9"/>
        <v>0</v>
      </c>
      <c r="J12" s="199">
        <f t="shared" si="9"/>
        <v>0</v>
      </c>
      <c r="K12" s="199">
        <f t="shared" ref="K12" si="10">K5*SUM(K7:K11)</f>
        <v>0</v>
      </c>
      <c r="L12" s="199">
        <f t="shared" ref="L12:M12" si="11">L5*SUM(L7:L11)</f>
        <v>0</v>
      </c>
      <c r="M12" s="199">
        <f t="shared" si="11"/>
        <v>0</v>
      </c>
      <c r="N12" s="199">
        <f t="shared" ref="N12" si="12">N5*SUM(N7:N11)</f>
        <v>0</v>
      </c>
      <c r="O12" s="199">
        <f t="shared" ref="O12:P12" si="13">O5*SUM(O7:O11)</f>
        <v>0</v>
      </c>
      <c r="P12" s="199">
        <f t="shared" si="13"/>
        <v>0</v>
      </c>
      <c r="Q12" s="199">
        <f t="shared" ref="Q12" si="14">Q5*SUM(Q7:Q11)</f>
        <v>0</v>
      </c>
      <c r="R12" s="199">
        <f t="shared" ref="R12:S12" si="15">R5*SUM(R7:R11)</f>
        <v>0</v>
      </c>
      <c r="S12" s="199">
        <f t="shared" si="15"/>
        <v>0</v>
      </c>
      <c r="T12" s="199">
        <f t="shared" ref="T12" si="16">T5*SUM(T7:T11)</f>
        <v>0</v>
      </c>
      <c r="U12" s="199">
        <f t="shared" ref="U12:V12" si="17">U5*SUM(U7:U11)</f>
        <v>0</v>
      </c>
      <c r="V12" s="199">
        <f t="shared" si="17"/>
        <v>0</v>
      </c>
      <c r="W12" s="199">
        <f t="shared" ref="W12" si="18">W5*SUM(W7:W11)</f>
        <v>0</v>
      </c>
      <c r="X12" s="199">
        <f t="shared" ref="X12:Y12" si="19">X5*SUM(X7:X11)</f>
        <v>0</v>
      </c>
      <c r="Y12" s="199">
        <f t="shared" si="19"/>
        <v>0</v>
      </c>
      <c r="Z12" s="199">
        <f t="shared" ref="Z12" si="20">Z5*SUM(Z7:Z11)</f>
        <v>0</v>
      </c>
      <c r="AA12" s="199">
        <f t="shared" ref="AA12:AE12" si="21">AA5*AA6*SUM(AA7:AA11)</f>
        <v>0</v>
      </c>
      <c r="AB12" s="199">
        <f t="shared" si="21"/>
        <v>0</v>
      </c>
      <c r="AC12" s="199">
        <f t="shared" si="21"/>
        <v>0</v>
      </c>
      <c r="AD12" s="199">
        <f t="shared" si="21"/>
        <v>0</v>
      </c>
      <c r="AE12" s="199">
        <f t="shared" si="21"/>
        <v>0</v>
      </c>
    </row>
    <row r="13" ht="15" customHeight="1" spans="1:31">
      <c r="A13" s="195" t="s">
        <v>125</v>
      </c>
      <c r="C13" s="196"/>
      <c r="D13" s="198"/>
      <c r="E13" s="196"/>
      <c r="F13" s="198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198"/>
      <c r="AB13" s="198"/>
      <c r="AC13" s="198"/>
      <c r="AD13" s="198"/>
      <c r="AE13" s="198"/>
    </row>
    <row r="14" ht="15" customHeight="1" spans="1:31">
      <c r="A14" s="191" t="s">
        <v>120</v>
      </c>
      <c r="B14" s="210"/>
      <c r="C14" s="211"/>
      <c r="D14" s="199">
        <f>SUM(F14:Z14)</f>
        <v>2509236621.2</v>
      </c>
      <c r="E14" s="211"/>
      <c r="F14" s="212"/>
      <c r="G14" s="199">
        <f>Assump!B11*'Cash Flow'!B15</f>
        <v>137678000</v>
      </c>
      <c r="H14" s="199">
        <f>$G$14*H3</f>
        <v>134236050</v>
      </c>
      <c r="I14" s="199">
        <f t="shared" ref="I14:AE14" si="22">$G$14*I3</f>
        <v>133189697.2</v>
      </c>
      <c r="J14" s="199">
        <f t="shared" si="22"/>
        <v>132143344.4</v>
      </c>
      <c r="K14" s="199">
        <f t="shared" si="22"/>
        <v>131096991.6</v>
      </c>
      <c r="L14" s="199">
        <f t="shared" si="22"/>
        <v>130050638.8</v>
      </c>
      <c r="M14" s="199">
        <f t="shared" si="22"/>
        <v>129004286</v>
      </c>
      <c r="N14" s="199">
        <f t="shared" si="22"/>
        <v>127957933.2</v>
      </c>
      <c r="O14" s="199">
        <f t="shared" si="22"/>
        <v>126911580.4</v>
      </c>
      <c r="P14" s="199">
        <f t="shared" si="22"/>
        <v>125865227.6</v>
      </c>
      <c r="Q14" s="199">
        <f t="shared" si="22"/>
        <v>124818874.8</v>
      </c>
      <c r="R14" s="199">
        <f t="shared" si="22"/>
        <v>123772522</v>
      </c>
      <c r="S14" s="199">
        <f t="shared" si="22"/>
        <v>122726169.2</v>
      </c>
      <c r="T14" s="199">
        <f t="shared" si="22"/>
        <v>121679816.4</v>
      </c>
      <c r="U14" s="199">
        <f t="shared" si="22"/>
        <v>120633463.6</v>
      </c>
      <c r="V14" s="199">
        <f t="shared" si="22"/>
        <v>119587110.8</v>
      </c>
      <c r="W14" s="199">
        <f t="shared" si="22"/>
        <v>118540758</v>
      </c>
      <c r="X14" s="199">
        <f t="shared" si="22"/>
        <v>117494405.2</v>
      </c>
      <c r="Y14" s="199">
        <f t="shared" si="22"/>
        <v>116448052.4</v>
      </c>
      <c r="Z14" s="199">
        <f t="shared" si="22"/>
        <v>115401699.6</v>
      </c>
      <c r="AA14" s="199">
        <f t="shared" si="22"/>
        <v>114355346.8</v>
      </c>
      <c r="AB14" s="199">
        <f t="shared" si="22"/>
        <v>113308994</v>
      </c>
      <c r="AC14" s="199">
        <f t="shared" si="22"/>
        <v>112262641.2</v>
      </c>
      <c r="AD14" s="199">
        <f t="shared" si="22"/>
        <v>111216288.4</v>
      </c>
      <c r="AE14" s="199">
        <f t="shared" si="22"/>
        <v>110169935.6</v>
      </c>
    </row>
    <row r="15" ht="15" customHeight="1" spans="1:31">
      <c r="A15" s="201" t="s">
        <v>121</v>
      </c>
      <c r="B15" s="210">
        <f>1-B6</f>
        <v>1</v>
      </c>
      <c r="C15" s="211"/>
      <c r="D15" s="199"/>
      <c r="E15" s="211"/>
      <c r="F15" s="212"/>
      <c r="G15" s="203">
        <f>B15</f>
        <v>1</v>
      </c>
      <c r="H15" s="203">
        <f t="shared" ref="H15:H20" si="23">G15</f>
        <v>1</v>
      </c>
      <c r="I15" s="203">
        <f t="shared" ref="I15:Z15" si="24">H15</f>
        <v>1</v>
      </c>
      <c r="J15" s="203">
        <f t="shared" si="24"/>
        <v>1</v>
      </c>
      <c r="K15" s="203">
        <f t="shared" si="24"/>
        <v>1</v>
      </c>
      <c r="L15" s="203">
        <f t="shared" si="24"/>
        <v>1</v>
      </c>
      <c r="M15" s="203">
        <f t="shared" si="24"/>
        <v>1</v>
      </c>
      <c r="N15" s="203">
        <f t="shared" si="24"/>
        <v>1</v>
      </c>
      <c r="O15" s="203">
        <f t="shared" si="24"/>
        <v>1</v>
      </c>
      <c r="P15" s="203">
        <f t="shared" si="24"/>
        <v>1</v>
      </c>
      <c r="Q15" s="203">
        <f t="shared" si="24"/>
        <v>1</v>
      </c>
      <c r="R15" s="203">
        <f t="shared" si="24"/>
        <v>1</v>
      </c>
      <c r="S15" s="203">
        <f t="shared" si="24"/>
        <v>1</v>
      </c>
      <c r="T15" s="203">
        <f t="shared" si="24"/>
        <v>1</v>
      </c>
      <c r="U15" s="203">
        <f t="shared" si="24"/>
        <v>1</v>
      </c>
      <c r="V15" s="203">
        <f t="shared" si="24"/>
        <v>1</v>
      </c>
      <c r="W15" s="203">
        <f t="shared" si="24"/>
        <v>1</v>
      </c>
      <c r="X15" s="203">
        <f t="shared" si="24"/>
        <v>1</v>
      </c>
      <c r="Y15" s="203">
        <f t="shared" si="24"/>
        <v>1</v>
      </c>
      <c r="Z15" s="203">
        <f t="shared" si="24"/>
        <v>1</v>
      </c>
      <c r="AA15" s="203">
        <v>1</v>
      </c>
      <c r="AB15" s="203">
        <v>1</v>
      </c>
      <c r="AC15" s="203">
        <v>1</v>
      </c>
      <c r="AD15" s="203">
        <v>1</v>
      </c>
      <c r="AE15" s="203">
        <v>1</v>
      </c>
    </row>
    <row r="16" ht="15" customHeight="1" spans="1:31">
      <c r="A16" s="213" t="s">
        <v>126</v>
      </c>
      <c r="B16" s="214">
        <f>Assump!I18</f>
        <v>0</v>
      </c>
      <c r="C16" s="215"/>
      <c r="D16" s="216"/>
      <c r="E16" s="215"/>
      <c r="F16" s="216"/>
      <c r="G16" s="216">
        <f t="shared" ref="G16:G20" si="25">B16</f>
        <v>0</v>
      </c>
      <c r="H16" s="216">
        <f t="shared" si="23"/>
        <v>0</v>
      </c>
      <c r="I16" s="216">
        <f t="shared" ref="I16:AE20" si="26">H16</f>
        <v>0</v>
      </c>
      <c r="J16" s="216">
        <f t="shared" si="26"/>
        <v>0</v>
      </c>
      <c r="K16" s="216">
        <f t="shared" si="26"/>
        <v>0</v>
      </c>
      <c r="L16" s="216">
        <f t="shared" si="26"/>
        <v>0</v>
      </c>
      <c r="M16" s="216">
        <f t="shared" si="26"/>
        <v>0</v>
      </c>
      <c r="N16" s="216">
        <f t="shared" si="26"/>
        <v>0</v>
      </c>
      <c r="O16" s="216">
        <f t="shared" si="26"/>
        <v>0</v>
      </c>
      <c r="P16" s="216">
        <f t="shared" si="26"/>
        <v>0</v>
      </c>
      <c r="Q16" s="216">
        <f t="shared" si="26"/>
        <v>0</v>
      </c>
      <c r="R16" s="216">
        <f t="shared" si="26"/>
        <v>0</v>
      </c>
      <c r="S16" s="216">
        <f t="shared" si="26"/>
        <v>0</v>
      </c>
      <c r="T16" s="216">
        <f t="shared" si="26"/>
        <v>0</v>
      </c>
      <c r="U16" s="216">
        <f t="shared" si="26"/>
        <v>0</v>
      </c>
      <c r="V16" s="216">
        <f t="shared" si="26"/>
        <v>0</v>
      </c>
      <c r="W16" s="216">
        <f t="shared" si="26"/>
        <v>0</v>
      </c>
      <c r="X16" s="216">
        <f t="shared" si="26"/>
        <v>0</v>
      </c>
      <c r="Y16" s="216">
        <f t="shared" si="26"/>
        <v>0</v>
      </c>
      <c r="Z16" s="216">
        <f t="shared" si="26"/>
        <v>0</v>
      </c>
      <c r="AA16" s="216">
        <f t="shared" si="26"/>
        <v>0</v>
      </c>
      <c r="AB16" s="216">
        <f t="shared" si="26"/>
        <v>0</v>
      </c>
      <c r="AC16" s="216">
        <f t="shared" si="26"/>
        <v>0</v>
      </c>
      <c r="AD16" s="216">
        <f t="shared" si="26"/>
        <v>0</v>
      </c>
      <c r="AE16" s="216">
        <f t="shared" si="26"/>
        <v>0</v>
      </c>
    </row>
    <row r="17" ht="15" customHeight="1" spans="1:31">
      <c r="A17" s="213" t="s">
        <v>123</v>
      </c>
      <c r="B17" s="214">
        <f>Assump!I19</f>
        <v>0.8</v>
      </c>
      <c r="C17" s="215"/>
      <c r="D17" s="216"/>
      <c r="E17" s="215"/>
      <c r="F17" s="216"/>
      <c r="G17" s="216">
        <f t="shared" si="25"/>
        <v>0.8</v>
      </c>
      <c r="H17" s="216">
        <f t="shared" si="23"/>
        <v>0.8</v>
      </c>
      <c r="I17" s="216">
        <f t="shared" si="26"/>
        <v>0.8</v>
      </c>
      <c r="J17" s="216">
        <f t="shared" si="26"/>
        <v>0.8</v>
      </c>
      <c r="K17" s="216">
        <f t="shared" si="26"/>
        <v>0.8</v>
      </c>
      <c r="L17" s="216">
        <f t="shared" si="26"/>
        <v>0.8</v>
      </c>
      <c r="M17" s="216">
        <f t="shared" si="26"/>
        <v>0.8</v>
      </c>
      <c r="N17" s="216">
        <f t="shared" si="26"/>
        <v>0.8</v>
      </c>
      <c r="O17" s="216">
        <f t="shared" si="26"/>
        <v>0.8</v>
      </c>
      <c r="P17" s="216">
        <f t="shared" si="26"/>
        <v>0.8</v>
      </c>
      <c r="Q17" s="216">
        <f t="shared" si="26"/>
        <v>0.8</v>
      </c>
      <c r="R17" s="216">
        <f t="shared" si="26"/>
        <v>0.8</v>
      </c>
      <c r="S17" s="216">
        <f t="shared" si="26"/>
        <v>0.8</v>
      </c>
      <c r="T17" s="216">
        <f t="shared" si="26"/>
        <v>0.8</v>
      </c>
      <c r="U17" s="216">
        <f t="shared" si="26"/>
        <v>0.8</v>
      </c>
      <c r="V17" s="216">
        <f t="shared" si="26"/>
        <v>0.8</v>
      </c>
      <c r="W17" s="216">
        <f t="shared" si="26"/>
        <v>0.8</v>
      </c>
      <c r="X17" s="216">
        <f t="shared" si="26"/>
        <v>0.8</v>
      </c>
      <c r="Y17" s="216">
        <f t="shared" si="26"/>
        <v>0.8</v>
      </c>
      <c r="Z17" s="216">
        <f t="shared" si="26"/>
        <v>0.8</v>
      </c>
      <c r="AA17" s="216"/>
      <c r="AB17" s="216"/>
      <c r="AC17" s="216"/>
      <c r="AD17" s="216"/>
      <c r="AE17" s="216"/>
    </row>
    <row r="18" s="167" customFormat="1" ht="15" customHeight="1" spans="1:31">
      <c r="A18" s="206" t="s">
        <v>79</v>
      </c>
      <c r="B18" s="214">
        <f>Assump!I22</f>
        <v>0</v>
      </c>
      <c r="C18" s="217"/>
      <c r="D18" s="205"/>
      <c r="E18" s="217"/>
      <c r="F18" s="205"/>
      <c r="G18" s="208">
        <f t="shared" si="25"/>
        <v>0</v>
      </c>
      <c r="H18" s="208">
        <f t="shared" si="23"/>
        <v>0</v>
      </c>
      <c r="I18" s="208">
        <f>H18</f>
        <v>0</v>
      </c>
      <c r="J18" s="208">
        <f t="shared" si="26"/>
        <v>0</v>
      </c>
      <c r="K18" s="208">
        <f t="shared" si="26"/>
        <v>0</v>
      </c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</row>
    <row r="19" s="167" customFormat="1" ht="15" customHeight="1" spans="1:31">
      <c r="A19" s="206" t="s">
        <v>80</v>
      </c>
      <c r="B19" s="214">
        <f>Assump!I23</f>
        <v>0</v>
      </c>
      <c r="C19" s="217"/>
      <c r="D19" s="205"/>
      <c r="E19" s="217"/>
      <c r="F19" s="205"/>
      <c r="G19" s="208">
        <f t="shared" si="25"/>
        <v>0</v>
      </c>
      <c r="H19" s="208">
        <f t="shared" si="23"/>
        <v>0</v>
      </c>
      <c r="I19" s="208">
        <f t="shared" ref="I19" si="27">H19</f>
        <v>0</v>
      </c>
      <c r="J19" s="208">
        <f t="shared" si="26"/>
        <v>0</v>
      </c>
      <c r="K19" s="208">
        <f t="shared" si="26"/>
        <v>0</v>
      </c>
      <c r="L19" s="280"/>
      <c r="M19" s="280"/>
      <c r="N19" s="280">
        <f t="shared" ref="N19:P20" si="28">I19</f>
        <v>0</v>
      </c>
      <c r="O19" s="208">
        <f t="shared" si="28"/>
        <v>0</v>
      </c>
      <c r="P19" s="208">
        <f t="shared" si="28"/>
        <v>0</v>
      </c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</row>
    <row r="20" s="167" customFormat="1" ht="15" customHeight="1" spans="1:31">
      <c r="A20" s="206" t="s">
        <v>81</v>
      </c>
      <c r="B20" s="214">
        <f>Assump!I24</f>
        <v>0</v>
      </c>
      <c r="C20" s="217"/>
      <c r="D20" s="205"/>
      <c r="E20" s="217"/>
      <c r="F20" s="205"/>
      <c r="G20" s="208">
        <f t="shared" si="25"/>
        <v>0</v>
      </c>
      <c r="H20" s="208">
        <f t="shared" si="23"/>
        <v>0</v>
      </c>
      <c r="I20" s="208">
        <f t="shared" ref="I20" si="29">H20</f>
        <v>0</v>
      </c>
      <c r="J20" s="208">
        <f t="shared" si="26"/>
        <v>0</v>
      </c>
      <c r="K20" s="208">
        <f t="shared" si="26"/>
        <v>0</v>
      </c>
      <c r="L20" s="280"/>
      <c r="M20" s="280"/>
      <c r="N20" s="280">
        <f t="shared" si="28"/>
        <v>0</v>
      </c>
      <c r="O20" s="208">
        <f t="shared" si="28"/>
        <v>0</v>
      </c>
      <c r="P20" s="208">
        <f t="shared" si="28"/>
        <v>0</v>
      </c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</row>
    <row r="21" ht="15" customHeight="1" spans="1:31">
      <c r="A21" s="191" t="s">
        <v>127</v>
      </c>
      <c r="B21" s="210"/>
      <c r="C21" s="217"/>
      <c r="D21" s="199">
        <f t="shared" ref="D21:D27" si="30">SUM(F21:Z21)</f>
        <v>2007389296.96</v>
      </c>
      <c r="E21" s="217"/>
      <c r="F21" s="193"/>
      <c r="G21" s="199">
        <f>G14*SUM(G16:G20)</f>
        <v>110142400</v>
      </c>
      <c r="H21" s="199">
        <f t="shared" ref="H21:AE21" si="31">H14*SUM(H16:H20)</f>
        <v>107388840</v>
      </c>
      <c r="I21" s="199">
        <f t="shared" si="31"/>
        <v>106551757.76</v>
      </c>
      <c r="J21" s="199">
        <f t="shared" si="31"/>
        <v>105714675.52</v>
      </c>
      <c r="K21" s="199">
        <f t="shared" si="31"/>
        <v>104877593.28</v>
      </c>
      <c r="L21" s="281">
        <f t="shared" si="31"/>
        <v>104040511.04</v>
      </c>
      <c r="M21" s="281">
        <f t="shared" si="31"/>
        <v>103203428.8</v>
      </c>
      <c r="N21" s="281">
        <f t="shared" si="31"/>
        <v>102366346.56</v>
      </c>
      <c r="O21" s="199">
        <f t="shared" si="31"/>
        <v>101529264.32</v>
      </c>
      <c r="P21" s="199">
        <f t="shared" si="31"/>
        <v>100692182.08</v>
      </c>
      <c r="Q21" s="199">
        <f t="shared" si="31"/>
        <v>99855099.84</v>
      </c>
      <c r="R21" s="199">
        <f t="shared" si="31"/>
        <v>99018017.5999999</v>
      </c>
      <c r="S21" s="199">
        <f t="shared" si="31"/>
        <v>98180935.3599999</v>
      </c>
      <c r="T21" s="199">
        <f t="shared" si="31"/>
        <v>97343853.1199999</v>
      </c>
      <c r="U21" s="199">
        <f t="shared" si="31"/>
        <v>96506770.8799999</v>
      </c>
      <c r="V21" s="199">
        <f t="shared" si="31"/>
        <v>95669688.6399999</v>
      </c>
      <c r="W21" s="199">
        <f t="shared" si="31"/>
        <v>94832606.3999999</v>
      </c>
      <c r="X21" s="199">
        <f t="shared" si="31"/>
        <v>93995524.1599999</v>
      </c>
      <c r="Y21" s="199">
        <f t="shared" si="31"/>
        <v>93158441.9199999</v>
      </c>
      <c r="Z21" s="199">
        <f t="shared" si="31"/>
        <v>92321359.6799999</v>
      </c>
      <c r="AA21" s="199">
        <f t="shared" si="31"/>
        <v>0</v>
      </c>
      <c r="AB21" s="199">
        <f t="shared" si="31"/>
        <v>0</v>
      </c>
      <c r="AC21" s="199">
        <f t="shared" si="31"/>
        <v>0</v>
      </c>
      <c r="AD21" s="199">
        <f t="shared" si="31"/>
        <v>0</v>
      </c>
      <c r="AE21" s="199">
        <f t="shared" si="31"/>
        <v>0</v>
      </c>
    </row>
    <row r="22" ht="15" customHeight="1" spans="1:31">
      <c r="A22" s="195"/>
      <c r="B22" s="218"/>
      <c r="C22" s="219"/>
      <c r="D22" s="220"/>
      <c r="E22" s="219"/>
      <c r="F22" s="221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</row>
    <row r="23" ht="15" customHeight="1" spans="1:31">
      <c r="A23" s="201" t="s">
        <v>128</v>
      </c>
      <c r="B23" s="218"/>
      <c r="C23" s="219"/>
      <c r="D23" s="222">
        <f t="shared" si="30"/>
        <v>2509236621.2</v>
      </c>
      <c r="E23" s="219"/>
      <c r="F23" s="221"/>
      <c r="G23" s="222">
        <f>SUM(G5,G14)</f>
        <v>137678000</v>
      </c>
      <c r="H23" s="222">
        <f t="shared" ref="H23:AE23" si="32">SUM(H5,H14)</f>
        <v>134236050</v>
      </c>
      <c r="I23" s="222">
        <f t="shared" si="32"/>
        <v>133189697.2</v>
      </c>
      <c r="J23" s="222">
        <f t="shared" si="32"/>
        <v>132143344.4</v>
      </c>
      <c r="K23" s="222">
        <f t="shared" si="32"/>
        <v>131096991.6</v>
      </c>
      <c r="L23" s="222">
        <f t="shared" si="32"/>
        <v>130050638.8</v>
      </c>
      <c r="M23" s="222">
        <f t="shared" si="32"/>
        <v>129004286</v>
      </c>
      <c r="N23" s="222">
        <f t="shared" si="32"/>
        <v>127957933.2</v>
      </c>
      <c r="O23" s="222">
        <f t="shared" si="32"/>
        <v>126911580.4</v>
      </c>
      <c r="P23" s="222">
        <f t="shared" si="32"/>
        <v>125865227.6</v>
      </c>
      <c r="Q23" s="222">
        <f t="shared" si="32"/>
        <v>124818874.8</v>
      </c>
      <c r="R23" s="222">
        <f t="shared" si="32"/>
        <v>123772522</v>
      </c>
      <c r="S23" s="222">
        <f t="shared" si="32"/>
        <v>122726169.2</v>
      </c>
      <c r="T23" s="222">
        <f t="shared" si="32"/>
        <v>121679816.4</v>
      </c>
      <c r="U23" s="222">
        <f t="shared" si="32"/>
        <v>120633463.6</v>
      </c>
      <c r="V23" s="222">
        <f t="shared" si="32"/>
        <v>119587110.8</v>
      </c>
      <c r="W23" s="222">
        <f t="shared" si="32"/>
        <v>118540758</v>
      </c>
      <c r="X23" s="222">
        <f t="shared" si="32"/>
        <v>117494405.2</v>
      </c>
      <c r="Y23" s="222">
        <f t="shared" si="32"/>
        <v>116448052.4</v>
      </c>
      <c r="Z23" s="222">
        <f t="shared" si="32"/>
        <v>115401699.6</v>
      </c>
      <c r="AA23" s="222">
        <f t="shared" si="32"/>
        <v>114355346.8</v>
      </c>
      <c r="AB23" s="222">
        <f t="shared" si="32"/>
        <v>113308994</v>
      </c>
      <c r="AC23" s="222">
        <f t="shared" si="32"/>
        <v>112262641.2</v>
      </c>
      <c r="AD23" s="222">
        <f t="shared" si="32"/>
        <v>111216288.4</v>
      </c>
      <c r="AE23" s="222">
        <f t="shared" si="32"/>
        <v>110169935.6</v>
      </c>
    </row>
    <row r="24" ht="15" customHeight="1" spans="1:31">
      <c r="A24" s="223" t="s">
        <v>129</v>
      </c>
      <c r="B24" s="224"/>
      <c r="C24" s="219"/>
      <c r="D24" s="222">
        <f t="shared" si="30"/>
        <v>2007389296.96</v>
      </c>
      <c r="E24" s="219"/>
      <c r="F24" s="198"/>
      <c r="G24" s="222">
        <f t="shared" ref="G24:AE24" si="33">G12+G21</f>
        <v>110142400</v>
      </c>
      <c r="H24" s="222">
        <f t="shared" si="33"/>
        <v>107388840</v>
      </c>
      <c r="I24" s="222">
        <f t="shared" si="33"/>
        <v>106551757.76</v>
      </c>
      <c r="J24" s="222">
        <f t="shared" si="33"/>
        <v>105714675.52</v>
      </c>
      <c r="K24" s="222">
        <f t="shared" si="33"/>
        <v>104877593.28</v>
      </c>
      <c r="L24" s="222">
        <f t="shared" si="33"/>
        <v>104040511.04</v>
      </c>
      <c r="M24" s="222">
        <f t="shared" si="33"/>
        <v>103203428.8</v>
      </c>
      <c r="N24" s="222">
        <f t="shared" si="33"/>
        <v>102366346.56</v>
      </c>
      <c r="O24" s="222">
        <f t="shared" si="33"/>
        <v>101529264.32</v>
      </c>
      <c r="P24" s="222">
        <f t="shared" si="33"/>
        <v>100692182.08</v>
      </c>
      <c r="Q24" s="222">
        <f t="shared" si="33"/>
        <v>99855099.84</v>
      </c>
      <c r="R24" s="222">
        <f t="shared" si="33"/>
        <v>99018017.5999999</v>
      </c>
      <c r="S24" s="222">
        <f t="shared" si="33"/>
        <v>98180935.3599999</v>
      </c>
      <c r="T24" s="222">
        <f t="shared" si="33"/>
        <v>97343853.1199999</v>
      </c>
      <c r="U24" s="222">
        <f t="shared" si="33"/>
        <v>96506770.8799999</v>
      </c>
      <c r="V24" s="222">
        <f t="shared" si="33"/>
        <v>95669688.6399999</v>
      </c>
      <c r="W24" s="222">
        <f t="shared" si="33"/>
        <v>94832606.3999999</v>
      </c>
      <c r="X24" s="222">
        <f t="shared" si="33"/>
        <v>93995524.1599999</v>
      </c>
      <c r="Y24" s="222">
        <f t="shared" si="33"/>
        <v>93158441.9199999</v>
      </c>
      <c r="Z24" s="222">
        <f t="shared" si="33"/>
        <v>92321359.6799999</v>
      </c>
      <c r="AA24" s="222">
        <f t="shared" si="33"/>
        <v>0</v>
      </c>
      <c r="AB24" s="222">
        <f t="shared" si="33"/>
        <v>0</v>
      </c>
      <c r="AC24" s="222">
        <f t="shared" si="33"/>
        <v>0</v>
      </c>
      <c r="AD24" s="222">
        <f t="shared" si="33"/>
        <v>0</v>
      </c>
      <c r="AE24" s="222">
        <f t="shared" si="33"/>
        <v>0</v>
      </c>
    </row>
    <row r="25" ht="15" customHeight="1" spans="1:31">
      <c r="A25" s="223"/>
      <c r="B25" s="224"/>
      <c r="C25" s="219"/>
      <c r="D25" s="212">
        <f t="shared" si="30"/>
        <v>0</v>
      </c>
      <c r="E25" s="219"/>
      <c r="F25" s="198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</row>
    <row r="26" ht="15" customHeight="1" spans="1:31">
      <c r="A26" s="225"/>
      <c r="B26" s="226"/>
      <c r="C26" s="217"/>
      <c r="D26" s="212">
        <f t="shared" si="30"/>
        <v>0</v>
      </c>
      <c r="E26" s="217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</row>
    <row r="27" ht="15" customHeight="1" spans="1:31">
      <c r="A27" s="227" t="s">
        <v>130</v>
      </c>
      <c r="B27" s="226"/>
      <c r="C27" s="217"/>
      <c r="D27" s="212">
        <f t="shared" si="30"/>
        <v>-291671949.13094</v>
      </c>
      <c r="E27" s="217"/>
      <c r="F27" s="212"/>
      <c r="G27" s="212">
        <f>-增值税!G13</f>
        <v>-16003596.5811966</v>
      </c>
      <c r="H27" s="212">
        <f>-增值税!H13</f>
        <v>-15603506.6666667</v>
      </c>
      <c r="I27" s="212">
        <f>-增值税!I13</f>
        <v>-15481879.3326496</v>
      </c>
      <c r="J27" s="212">
        <f>-增值税!J13</f>
        <v>-15360251.9986325</v>
      </c>
      <c r="K27" s="212">
        <f>-增值税!K13</f>
        <v>-15238624.6646154</v>
      </c>
      <c r="L27" s="212">
        <f>-增值税!L13</f>
        <v>-15116997.3305983</v>
      </c>
      <c r="M27" s="212">
        <f>-增值税!M13</f>
        <v>-14995369.9965812</v>
      </c>
      <c r="N27" s="212">
        <f>-增值税!N13</f>
        <v>-14873742.6625641</v>
      </c>
      <c r="O27" s="212">
        <f>-增值税!O13</f>
        <v>-14752115.328547</v>
      </c>
      <c r="P27" s="212">
        <f>-增值税!P13</f>
        <v>-14630487.9945299</v>
      </c>
      <c r="Q27" s="212">
        <f>-增值税!Q13</f>
        <v>-14508860.6605128</v>
      </c>
      <c r="R27" s="212">
        <f>-增值税!R13</f>
        <v>-14387233.3264957</v>
      </c>
      <c r="S27" s="212">
        <f>-增值税!S13</f>
        <v>-14265605.9924786</v>
      </c>
      <c r="T27" s="212">
        <f>-增值税!T13</f>
        <v>-14143978.6584615</v>
      </c>
      <c r="U27" s="212">
        <f>-增值税!U13</f>
        <v>-14022351.3244444</v>
      </c>
      <c r="V27" s="212">
        <f>-增值税!V13</f>
        <v>-13900723.9904273</v>
      </c>
      <c r="W27" s="212">
        <f>-增值税!W13</f>
        <v>-13779096.6564102</v>
      </c>
      <c r="X27" s="212">
        <f>-增值税!X13</f>
        <v>-13657469.3223931</v>
      </c>
      <c r="Y27" s="212">
        <f>-增值税!Y13</f>
        <v>-13535841.9883761</v>
      </c>
      <c r="Z27" s="212">
        <f>-增值税!Z13</f>
        <v>-13414214.654359</v>
      </c>
      <c r="AA27" s="199">
        <f>-增值税!AA13</f>
        <v>0</v>
      </c>
      <c r="AB27" s="199">
        <f>-增值税!AB13</f>
        <v>0</v>
      </c>
      <c r="AC27" s="199">
        <f>-增值税!AC13</f>
        <v>0</v>
      </c>
      <c r="AD27" s="199">
        <f>-增值税!AD13</f>
        <v>0</v>
      </c>
      <c r="AE27" s="199">
        <f>-增值税!AE13</f>
        <v>0</v>
      </c>
    </row>
    <row r="28" ht="15" customHeight="1" spans="1:31">
      <c r="A28" s="225"/>
      <c r="B28" s="226"/>
      <c r="C28" s="217"/>
      <c r="D28" s="220"/>
      <c r="E28" s="217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</row>
    <row r="29" s="168" customFormat="1" ht="15" customHeight="1" spans="1:31">
      <c r="A29" s="228" t="s">
        <v>131</v>
      </c>
      <c r="B29" s="229"/>
      <c r="C29" s="230"/>
      <c r="D29" s="231">
        <f>SUM(G29:Z29)</f>
        <v>1715717347.82906</v>
      </c>
      <c r="E29" s="230"/>
      <c r="F29" s="231">
        <f>F24+F27</f>
        <v>0</v>
      </c>
      <c r="G29" s="231">
        <f>G24+G27</f>
        <v>94138803.4188034</v>
      </c>
      <c r="H29" s="231">
        <f t="shared" ref="H29:AE29" si="34">H24+H27</f>
        <v>91785333.3333333</v>
      </c>
      <c r="I29" s="231">
        <f t="shared" si="34"/>
        <v>91069878.4273504</v>
      </c>
      <c r="J29" s="231">
        <f t="shared" si="34"/>
        <v>90354423.5213675</v>
      </c>
      <c r="K29" s="231">
        <f t="shared" si="34"/>
        <v>89638968.6153846</v>
      </c>
      <c r="L29" s="231">
        <f t="shared" si="34"/>
        <v>88923513.7094017</v>
      </c>
      <c r="M29" s="231">
        <f t="shared" si="34"/>
        <v>88208058.8034188</v>
      </c>
      <c r="N29" s="231">
        <f t="shared" si="34"/>
        <v>87492603.8974359</v>
      </c>
      <c r="O29" s="231">
        <f t="shared" si="34"/>
        <v>86777148.991453</v>
      </c>
      <c r="P29" s="231">
        <f t="shared" si="34"/>
        <v>86061694.0854701</v>
      </c>
      <c r="Q29" s="231">
        <f t="shared" si="34"/>
        <v>85346239.1794871</v>
      </c>
      <c r="R29" s="231">
        <f t="shared" si="34"/>
        <v>84630784.2735042</v>
      </c>
      <c r="S29" s="231">
        <f t="shared" si="34"/>
        <v>83915329.3675213</v>
      </c>
      <c r="T29" s="231">
        <f t="shared" si="34"/>
        <v>83199874.4615384</v>
      </c>
      <c r="U29" s="231">
        <f t="shared" si="34"/>
        <v>82484419.5555555</v>
      </c>
      <c r="V29" s="231">
        <f t="shared" si="34"/>
        <v>81768964.6495726</v>
      </c>
      <c r="W29" s="231">
        <f t="shared" si="34"/>
        <v>81053509.7435897</v>
      </c>
      <c r="X29" s="231">
        <f t="shared" si="34"/>
        <v>80338054.8376068</v>
      </c>
      <c r="Y29" s="231">
        <f t="shared" si="34"/>
        <v>79622599.9316238</v>
      </c>
      <c r="Z29" s="231">
        <f t="shared" si="34"/>
        <v>78907145.0256409</v>
      </c>
      <c r="AA29" s="231">
        <f t="shared" si="34"/>
        <v>0</v>
      </c>
      <c r="AB29" s="231">
        <f t="shared" si="34"/>
        <v>0</v>
      </c>
      <c r="AC29" s="231">
        <f t="shared" si="34"/>
        <v>0</v>
      </c>
      <c r="AD29" s="231">
        <f t="shared" si="34"/>
        <v>0</v>
      </c>
      <c r="AE29" s="231">
        <f t="shared" si="34"/>
        <v>0</v>
      </c>
    </row>
    <row r="30" s="169" customFormat="1" ht="15" customHeight="1" spans="1:31">
      <c r="A30" s="225"/>
      <c r="B30" s="187"/>
      <c r="C30" s="188"/>
      <c r="D30" s="220"/>
      <c r="E30" s="188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</row>
    <row r="31" s="169" customFormat="1" ht="15" customHeight="1" spans="1:31">
      <c r="A31" s="232" t="s">
        <v>132</v>
      </c>
      <c r="B31" s="187"/>
      <c r="C31" s="188"/>
      <c r="D31" s="212">
        <f>SUM(F31:Z31)</f>
        <v>-18000000</v>
      </c>
      <c r="E31" s="188"/>
      <c r="F31" s="220"/>
      <c r="G31" s="212">
        <f>-Assump!B44</f>
        <v>-900000</v>
      </c>
      <c r="H31" s="212">
        <f t="shared" ref="H31:H34" si="35">G31</f>
        <v>-900000</v>
      </c>
      <c r="I31" s="212">
        <f>H31*(1+Assump!$C$44)</f>
        <v>-900000</v>
      </c>
      <c r="J31" s="212">
        <f>I31*(1+Assump!$C$44)</f>
        <v>-900000</v>
      </c>
      <c r="K31" s="212">
        <f>J31*(1+Assump!$C$44)</f>
        <v>-900000</v>
      </c>
      <c r="L31" s="212">
        <f>K31*(1+Assump!$C$44)</f>
        <v>-900000</v>
      </c>
      <c r="M31" s="212">
        <f>L31*(1+Assump!$C$44)</f>
        <v>-900000</v>
      </c>
      <c r="N31" s="212">
        <f>M31*(1+Assump!$C$44)</f>
        <v>-900000</v>
      </c>
      <c r="O31" s="212">
        <f>N31*(1+Assump!$C$44)</f>
        <v>-900000</v>
      </c>
      <c r="P31" s="212">
        <f>O31*(1+Assump!$C$44)</f>
        <v>-900000</v>
      </c>
      <c r="Q31" s="212">
        <f>P31*(1+Assump!$C$44)</f>
        <v>-900000</v>
      </c>
      <c r="R31" s="212">
        <f>Q31*(1+Assump!$C$44)</f>
        <v>-900000</v>
      </c>
      <c r="S31" s="212">
        <f>R31*(1+Assump!$C$44)</f>
        <v>-900000</v>
      </c>
      <c r="T31" s="212">
        <f>S31*(1+Assump!$C$44)</f>
        <v>-900000</v>
      </c>
      <c r="U31" s="212">
        <f>T31*(1+Assump!$C$44)</f>
        <v>-900000</v>
      </c>
      <c r="V31" s="212">
        <f>U31*(1+Assump!$C$44)</f>
        <v>-900000</v>
      </c>
      <c r="W31" s="212">
        <f>V31*(1+Assump!$C$44)</f>
        <v>-900000</v>
      </c>
      <c r="X31" s="212">
        <f>W31*(1+Assump!$C$44)</f>
        <v>-900000</v>
      </c>
      <c r="Y31" s="212">
        <f>X31*(1+Assump!$C$44)</f>
        <v>-900000</v>
      </c>
      <c r="Z31" s="212">
        <f>Y31*(1+Assump!$C$44)</f>
        <v>-900000</v>
      </c>
      <c r="AA31" s="199">
        <f>Z31*(1+Assump!$C$44)</f>
        <v>-900000</v>
      </c>
      <c r="AB31" s="199">
        <f>AA31*(1+Assump!$C$44)</f>
        <v>-900000</v>
      </c>
      <c r="AC31" s="199">
        <f>AB31*(1+Assump!$C$44)</f>
        <v>-900000</v>
      </c>
      <c r="AD31" s="199">
        <f>AC31*(1+Assump!$C$44)</f>
        <v>-900000</v>
      </c>
      <c r="AE31" s="199">
        <f>AD31*(1+Assump!$C$44)</f>
        <v>-900000</v>
      </c>
    </row>
    <row r="32" s="169" customFormat="1" ht="15" customHeight="1" spans="1:31">
      <c r="A32" s="232" t="s">
        <v>105</v>
      </c>
      <c r="B32" s="187"/>
      <c r="C32" s="188"/>
      <c r="D32" s="212">
        <f t="shared" ref="D32:D37" si="36">SUM(F32:Z32)</f>
        <v>0</v>
      </c>
      <c r="E32" s="188"/>
      <c r="F32" s="220"/>
      <c r="G32" s="212">
        <f>Assump!B45</f>
        <v>0</v>
      </c>
      <c r="H32" s="212">
        <f t="shared" si="35"/>
        <v>0</v>
      </c>
      <c r="I32" s="212">
        <f t="shared" ref="I32:AE32" si="37">H32</f>
        <v>0</v>
      </c>
      <c r="J32" s="212">
        <f t="shared" si="37"/>
        <v>0</v>
      </c>
      <c r="K32" s="212">
        <f t="shared" si="37"/>
        <v>0</v>
      </c>
      <c r="L32" s="212">
        <f t="shared" si="37"/>
        <v>0</v>
      </c>
      <c r="M32" s="212">
        <f t="shared" si="37"/>
        <v>0</v>
      </c>
      <c r="N32" s="212">
        <f t="shared" si="37"/>
        <v>0</v>
      </c>
      <c r="O32" s="212">
        <f t="shared" si="37"/>
        <v>0</v>
      </c>
      <c r="P32" s="212">
        <f t="shared" si="37"/>
        <v>0</v>
      </c>
      <c r="Q32" s="212">
        <f t="shared" si="37"/>
        <v>0</v>
      </c>
      <c r="R32" s="212">
        <f t="shared" si="37"/>
        <v>0</v>
      </c>
      <c r="S32" s="212">
        <f t="shared" si="37"/>
        <v>0</v>
      </c>
      <c r="T32" s="212">
        <f t="shared" si="37"/>
        <v>0</v>
      </c>
      <c r="U32" s="212">
        <f t="shared" si="37"/>
        <v>0</v>
      </c>
      <c r="V32" s="212">
        <f t="shared" si="37"/>
        <v>0</v>
      </c>
      <c r="W32" s="212">
        <f t="shared" si="37"/>
        <v>0</v>
      </c>
      <c r="X32" s="212">
        <f t="shared" si="37"/>
        <v>0</v>
      </c>
      <c r="Y32" s="212">
        <f t="shared" si="37"/>
        <v>0</v>
      </c>
      <c r="Z32" s="212">
        <f t="shared" si="37"/>
        <v>0</v>
      </c>
      <c r="AA32" s="212">
        <f t="shared" si="37"/>
        <v>0</v>
      </c>
      <c r="AB32" s="212">
        <f t="shared" si="37"/>
        <v>0</v>
      </c>
      <c r="AC32" s="212">
        <f t="shared" si="37"/>
        <v>0</v>
      </c>
      <c r="AD32" s="212">
        <f t="shared" si="37"/>
        <v>0</v>
      </c>
      <c r="AE32" s="212">
        <f t="shared" si="37"/>
        <v>0</v>
      </c>
    </row>
    <row r="33" s="169" customFormat="1" ht="15" customHeight="1" spans="1:31">
      <c r="A33" s="233" t="s">
        <v>133</v>
      </c>
      <c r="B33" s="211"/>
      <c r="C33" s="234"/>
      <c r="D33" s="212">
        <f t="shared" si="36"/>
        <v>-122451022.251632</v>
      </c>
      <c r="E33" s="234"/>
      <c r="F33" s="212"/>
      <c r="G33" s="212">
        <f>-Assump!B46</f>
        <v>-4330000</v>
      </c>
      <c r="H33" s="212">
        <f>G33*(1+Assump!$C$46)</f>
        <v>-4481550</v>
      </c>
      <c r="I33" s="212">
        <f>H33*(1+Assump!$C$46)</f>
        <v>-4638404.25</v>
      </c>
      <c r="J33" s="212">
        <f>I33*(1+Assump!$C$46)</f>
        <v>-4800748.39875</v>
      </c>
      <c r="K33" s="212">
        <f>J33*(1+Assump!$C$46)</f>
        <v>-4968774.59270625</v>
      </c>
      <c r="L33" s="212">
        <f>K33*(1+Assump!$C$46)</f>
        <v>-5142681.70345097</v>
      </c>
      <c r="M33" s="212">
        <f>L33*(1+Assump!$C$46)</f>
        <v>-5322675.56307175</v>
      </c>
      <c r="N33" s="212">
        <f>M33*(1+Assump!$C$46)</f>
        <v>-5508969.20777926</v>
      </c>
      <c r="O33" s="212">
        <f>N33*(1+Assump!$C$46)</f>
        <v>-5701783.13005154</v>
      </c>
      <c r="P33" s="212">
        <f>O33*(1+Assump!$C$46)</f>
        <v>-5901345.53960334</v>
      </c>
      <c r="Q33" s="212">
        <f>P33*(1+Assump!$C$46)</f>
        <v>-6107892.63348946</v>
      </c>
      <c r="R33" s="212">
        <f>Q33*(1+Assump!$C$46)</f>
        <v>-6321668.87566159</v>
      </c>
      <c r="S33" s="212">
        <f>R33*(1+Assump!$C$46)</f>
        <v>-6542927.28630974</v>
      </c>
      <c r="T33" s="212">
        <f>S33*(1+Assump!$C$46)</f>
        <v>-6771929.74133058</v>
      </c>
      <c r="U33" s="212">
        <f>T33*(1+Assump!$C$46)</f>
        <v>-7008947.28227715</v>
      </c>
      <c r="V33" s="212">
        <f>U33*(1+Assump!$C$46)</f>
        <v>-7254260.43715685</v>
      </c>
      <c r="W33" s="212">
        <f>V33*(1+Assump!$C$46)</f>
        <v>-7508159.55245734</v>
      </c>
      <c r="X33" s="212">
        <f>W33*(1+Assump!$C$46)</f>
        <v>-7770945.13679335</v>
      </c>
      <c r="Y33" s="212">
        <f>X33*(1+Assump!$C$46)</f>
        <v>-8042928.21658111</v>
      </c>
      <c r="Z33" s="212">
        <f>Y33*(1+Assump!$C$46)</f>
        <v>-8324430.70416145</v>
      </c>
      <c r="AA33" s="199">
        <f>Z33*(1+Assump!$C$46)</f>
        <v>-8615785.7788071</v>
      </c>
      <c r="AB33" s="199">
        <f>AA33*(1+Assump!$C$46)</f>
        <v>-8917338.28106535</v>
      </c>
      <c r="AC33" s="199">
        <f>AB33*(1+Assump!$C$46)</f>
        <v>-9229445.12090264</v>
      </c>
      <c r="AD33" s="199">
        <f>AC33*(1+Assump!$C$46)</f>
        <v>-9552475.70013423</v>
      </c>
      <c r="AE33" s="199">
        <f>AD33*(1+Assump!$C$46)</f>
        <v>-9886812.34963893</v>
      </c>
    </row>
    <row r="34" s="169" customFormat="1" ht="15" customHeight="1" spans="1:31">
      <c r="A34" s="233" t="s">
        <v>134</v>
      </c>
      <c r="B34" s="211"/>
      <c r="C34" s="234"/>
      <c r="D34" s="212">
        <f t="shared" si="36"/>
        <v>-28289732.225</v>
      </c>
      <c r="E34" s="234"/>
      <c r="F34" s="212"/>
      <c r="G34" s="212">
        <f>-Assump!B47</f>
        <v>-1414486.61125</v>
      </c>
      <c r="H34" s="212">
        <f t="shared" si="35"/>
        <v>-1414486.61125</v>
      </c>
      <c r="I34" s="212">
        <f t="shared" ref="I34:Z34" si="38">H34</f>
        <v>-1414486.61125</v>
      </c>
      <c r="J34" s="212">
        <f t="shared" si="38"/>
        <v>-1414486.61125</v>
      </c>
      <c r="K34" s="212">
        <f t="shared" si="38"/>
        <v>-1414486.61125</v>
      </c>
      <c r="L34" s="212">
        <f t="shared" si="38"/>
        <v>-1414486.61125</v>
      </c>
      <c r="M34" s="212">
        <f t="shared" si="38"/>
        <v>-1414486.61125</v>
      </c>
      <c r="N34" s="212">
        <f t="shared" si="38"/>
        <v>-1414486.61125</v>
      </c>
      <c r="O34" s="212">
        <f t="shared" si="38"/>
        <v>-1414486.61125</v>
      </c>
      <c r="P34" s="212">
        <f t="shared" si="38"/>
        <v>-1414486.61125</v>
      </c>
      <c r="Q34" s="212">
        <f t="shared" si="38"/>
        <v>-1414486.61125</v>
      </c>
      <c r="R34" s="212">
        <f t="shared" si="38"/>
        <v>-1414486.61125</v>
      </c>
      <c r="S34" s="212">
        <f t="shared" si="38"/>
        <v>-1414486.61125</v>
      </c>
      <c r="T34" s="212">
        <f t="shared" si="38"/>
        <v>-1414486.61125</v>
      </c>
      <c r="U34" s="212">
        <f t="shared" si="38"/>
        <v>-1414486.61125</v>
      </c>
      <c r="V34" s="212">
        <f t="shared" si="38"/>
        <v>-1414486.61125</v>
      </c>
      <c r="W34" s="212">
        <f t="shared" si="38"/>
        <v>-1414486.61125</v>
      </c>
      <c r="X34" s="212">
        <f t="shared" si="38"/>
        <v>-1414486.61125</v>
      </c>
      <c r="Y34" s="212">
        <f t="shared" si="38"/>
        <v>-1414486.61125</v>
      </c>
      <c r="Z34" s="212">
        <f t="shared" si="38"/>
        <v>-1414486.61125</v>
      </c>
      <c r="AA34" s="199"/>
      <c r="AB34" s="199"/>
      <c r="AC34" s="199"/>
      <c r="AD34" s="199"/>
      <c r="AE34" s="199"/>
    </row>
    <row r="35" s="169" customFormat="1" ht="15" customHeight="1" spans="1:31">
      <c r="A35" s="235" t="s">
        <v>109</v>
      </c>
      <c r="B35" s="211"/>
      <c r="C35" s="234"/>
      <c r="D35" s="212">
        <f t="shared" si="36"/>
        <v>-3720861.09612368</v>
      </c>
      <c r="E35" s="234"/>
      <c r="F35" s="212"/>
      <c r="G35" s="212">
        <f>-Assump!B48</f>
        <v>-185513.38875</v>
      </c>
      <c r="H35" s="212">
        <f>G35*(1+Assump!$C$48)</f>
        <v>-185569.042766625</v>
      </c>
      <c r="I35" s="212">
        <f>H35*(1+Assump!$C$48)</f>
        <v>-185624.713479455</v>
      </c>
      <c r="J35" s="212">
        <f>I35*(1+Assump!$C$48)</f>
        <v>-185680.400893499</v>
      </c>
      <c r="K35" s="212">
        <f>J35*(1+Assump!$C$48)</f>
        <v>-185736.105013767</v>
      </c>
      <c r="L35" s="212">
        <f>K35*(1+Assump!$C$48)</f>
        <v>-185791.825845271</v>
      </c>
      <c r="M35" s="212">
        <f>L35*(1+Assump!$C$48)</f>
        <v>-185847.563393025</v>
      </c>
      <c r="N35" s="212">
        <f>M35*(1+Assump!$C$48)</f>
        <v>-185903.317662042</v>
      </c>
      <c r="O35" s="212">
        <f>N35*(1+Assump!$C$48)</f>
        <v>-185959.088657341</v>
      </c>
      <c r="P35" s="212">
        <f>O35*(1+Assump!$C$48)</f>
        <v>-186014.876383938</v>
      </c>
      <c r="Q35" s="212">
        <f>P35*(1+Assump!$C$48)</f>
        <v>-186070.680846853</v>
      </c>
      <c r="R35" s="212">
        <f>Q35*(1+Assump!$C$48)</f>
        <v>-186126.502051107</v>
      </c>
      <c r="S35" s="212">
        <f>R35*(1+Assump!$C$48)</f>
        <v>-186182.340001723</v>
      </c>
      <c r="T35" s="212">
        <f>S35*(1+Assump!$C$48)</f>
        <v>-186238.194703723</v>
      </c>
      <c r="U35" s="212">
        <f>T35*(1+Assump!$C$48)</f>
        <v>-186294.066162134</v>
      </c>
      <c r="V35" s="212">
        <f>U35*(1+Assump!$C$48)</f>
        <v>-186349.954381983</v>
      </c>
      <c r="W35" s="212">
        <f>V35*(1+Assump!$C$48)</f>
        <v>-186405.859368298</v>
      </c>
      <c r="X35" s="212">
        <f>W35*(1+Assump!$C$48)</f>
        <v>-186461.781126108</v>
      </c>
      <c r="Y35" s="212">
        <f>X35*(1+Assump!$C$48)</f>
        <v>-186517.719660446</v>
      </c>
      <c r="Z35" s="212">
        <f>Y35*(1+Assump!$C$48)</f>
        <v>-186573.674976344</v>
      </c>
      <c r="AA35" s="199">
        <f>Z35*(1+Assump!$C$48)</f>
        <v>-186629.647078837</v>
      </c>
      <c r="AB35" s="199">
        <f>AA35*(1+Assump!$C$48)</f>
        <v>-186685.635972961</v>
      </c>
      <c r="AC35" s="199">
        <f>AB35*(1+Assump!$C$48)</f>
        <v>-186741.641663752</v>
      </c>
      <c r="AD35" s="199">
        <f>AC35*(1+Assump!$C$48)</f>
        <v>-186797.664156252</v>
      </c>
      <c r="AE35" s="199">
        <f>AD35*(1+Assump!$C$48)</f>
        <v>-186853.703455498</v>
      </c>
    </row>
    <row r="36" s="169" customFormat="1" ht="15" customHeight="1" spans="1:31">
      <c r="A36" s="235" t="s">
        <v>135</v>
      </c>
      <c r="B36" s="211"/>
      <c r="C36" s="234"/>
      <c r="D36" s="212">
        <f t="shared" si="36"/>
        <v>-58538941.3535514</v>
      </c>
      <c r="E36" s="234"/>
      <c r="F36" s="212"/>
      <c r="G36" s="212">
        <f>-Assump!B49</f>
        <v>-2070000</v>
      </c>
      <c r="H36" s="212">
        <f>G36*(1+Assump!$C$49)</f>
        <v>-2142450</v>
      </c>
      <c r="I36" s="212">
        <f>H36*(1+Assump!$C$49)</f>
        <v>-2217435.75</v>
      </c>
      <c r="J36" s="212">
        <f>I36*(1+Assump!$C$49)</f>
        <v>-2295046.00125</v>
      </c>
      <c r="K36" s="212">
        <f>J36*(1+Assump!$C$49)</f>
        <v>-2375372.61129375</v>
      </c>
      <c r="L36" s="212">
        <f>K36*(1+Assump!$C$49)</f>
        <v>-2458510.65268903</v>
      </c>
      <c r="M36" s="212">
        <f>L36*(1+Assump!$C$49)</f>
        <v>-2544558.52553315</v>
      </c>
      <c r="N36" s="212">
        <f>M36*(1+Assump!$C$49)</f>
        <v>-2633618.07392681</v>
      </c>
      <c r="O36" s="212">
        <f>N36*(1+Assump!$C$49)</f>
        <v>-2725794.70651424</v>
      </c>
      <c r="P36" s="212">
        <f>O36*(1+Assump!$C$49)</f>
        <v>-2821197.52124224</v>
      </c>
      <c r="Q36" s="212">
        <f>P36*(1+Assump!$C$49)</f>
        <v>-2919939.43448572</v>
      </c>
      <c r="R36" s="212">
        <f>Q36*(1+Assump!$C$49)</f>
        <v>-3022137.31469272</v>
      </c>
      <c r="S36" s="212">
        <f>R36*(1+Assump!$C$49)</f>
        <v>-3127912.12070697</v>
      </c>
      <c r="T36" s="212">
        <f>S36*(1+Assump!$C$49)</f>
        <v>-3237389.04493171</v>
      </c>
      <c r="U36" s="212">
        <f>T36*(1+Assump!$C$49)</f>
        <v>-3350697.66150432</v>
      </c>
      <c r="V36" s="212">
        <f>U36*(1+Assump!$C$49)</f>
        <v>-3467972.07965697</v>
      </c>
      <c r="W36" s="212">
        <f>V36*(1+Assump!$C$49)</f>
        <v>-3589351.10244496</v>
      </c>
      <c r="X36" s="212">
        <f>W36*(1+Assump!$C$49)</f>
        <v>-3714978.39103054</v>
      </c>
      <c r="Y36" s="212">
        <f>X36*(1+Assump!$C$49)</f>
        <v>-3845002.6347166</v>
      </c>
      <c r="Z36" s="212">
        <f>Y36*(1+Assump!$C$49)</f>
        <v>-3979577.72693169</v>
      </c>
      <c r="AA36" s="199">
        <f>Z36*(1+Assump!$C$49)</f>
        <v>-4118862.94737429</v>
      </c>
      <c r="AB36" s="199">
        <f>AA36*(1+Assump!$C$49)</f>
        <v>-4263023.15053239</v>
      </c>
      <c r="AC36" s="199">
        <f>AB36*(1+Assump!$C$49)</f>
        <v>-4412228.96080103</v>
      </c>
      <c r="AD36" s="199">
        <f>AC36*(1+Assump!$C$49)</f>
        <v>-4566656.97442906</v>
      </c>
      <c r="AE36" s="199">
        <f>AD36*(1+Assump!$C$49)</f>
        <v>-4726489.96853408</v>
      </c>
    </row>
    <row r="37" s="169" customFormat="1" ht="15" customHeight="1" spans="1:31">
      <c r="A37" s="236" t="s">
        <v>115</v>
      </c>
      <c r="B37" s="237">
        <f>Assump!B54</f>
        <v>0.1</v>
      </c>
      <c r="C37" s="174"/>
      <c r="D37" s="212">
        <f t="shared" si="36"/>
        <v>-22296328.663094</v>
      </c>
      <c r="E37" s="174"/>
      <c r="F37" s="212"/>
      <c r="G37" s="212">
        <f>-增值税!G19*$B$37</f>
        <v>0</v>
      </c>
      <c r="H37" s="212">
        <f>-增值税!H19*$B$37</f>
        <v>0</v>
      </c>
      <c r="I37" s="212">
        <f>-增值税!I19*$B$37</f>
        <v>0</v>
      </c>
      <c r="J37" s="212">
        <f>-增值税!J19*$B$37</f>
        <v>0</v>
      </c>
      <c r="K37" s="212">
        <f>-增值税!K19*$B$37</f>
        <v>-897919.674376069</v>
      </c>
      <c r="L37" s="212">
        <f>-增值税!L19*$B$37</f>
        <v>-1511699.73305983</v>
      </c>
      <c r="M37" s="212">
        <f>-增值税!M19*$B$37</f>
        <v>-1499536.99965812</v>
      </c>
      <c r="N37" s="212">
        <f>-增值税!N19*$B$37</f>
        <v>-1487374.26625641</v>
      </c>
      <c r="O37" s="212">
        <f>-增值税!O19*$B$37</f>
        <v>-1475211.5328547</v>
      </c>
      <c r="P37" s="212">
        <f>-增值税!P19*$B$37</f>
        <v>-1463048.79945299</v>
      </c>
      <c r="Q37" s="212">
        <f>-增值税!Q19*$B$37</f>
        <v>-1450886.06605128</v>
      </c>
      <c r="R37" s="212">
        <f>-增值税!R19*$B$37</f>
        <v>-1438723.33264957</v>
      </c>
      <c r="S37" s="212">
        <f>-增值税!S19*$B$37</f>
        <v>-1426560.59924786</v>
      </c>
      <c r="T37" s="212">
        <f>-增值税!T19*$B$37</f>
        <v>-1414397.86584615</v>
      </c>
      <c r="U37" s="212">
        <f>-增值税!U19*$B$37</f>
        <v>-1402235.13244444</v>
      </c>
      <c r="V37" s="212">
        <f>-增值税!V19*$B$37</f>
        <v>-1390072.39904273</v>
      </c>
      <c r="W37" s="212">
        <f>-增值税!W19*$B$37</f>
        <v>-1377909.66564102</v>
      </c>
      <c r="X37" s="212">
        <f>-增值税!X19*$B$37</f>
        <v>-1365746.93223932</v>
      </c>
      <c r="Y37" s="212">
        <f>-增值税!Y19*$B$37</f>
        <v>-1353584.19883761</v>
      </c>
      <c r="Z37" s="212">
        <f>-增值税!Z19*$B$37</f>
        <v>-1341421.4654359</v>
      </c>
      <c r="AA37" s="199">
        <f>AA27*$B$37</f>
        <v>0</v>
      </c>
      <c r="AB37" s="199">
        <f>AB27*$B$37</f>
        <v>0</v>
      </c>
      <c r="AC37" s="199">
        <f>AC27*$B$37</f>
        <v>0</v>
      </c>
      <c r="AD37" s="199">
        <f>AD27*$B$37</f>
        <v>0</v>
      </c>
      <c r="AE37" s="199">
        <f>AE27*$B$37</f>
        <v>0</v>
      </c>
    </row>
    <row r="38" ht="15" customHeight="1" spans="1:31">
      <c r="A38" s="179"/>
      <c r="B38" s="238"/>
      <c r="D38" s="212">
        <f>SUM(D31:D37)/20</f>
        <v>-12664844.27947</v>
      </c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</row>
    <row r="39" s="168" customFormat="1" ht="15" customHeight="1" spans="1:31">
      <c r="A39" s="228" t="s">
        <v>136</v>
      </c>
      <c r="B39" s="229"/>
      <c r="C39" s="230"/>
      <c r="D39" s="231">
        <f>SUM(G39:Z39)</f>
        <v>1462420462.23966</v>
      </c>
      <c r="E39" s="230"/>
      <c r="F39" s="231"/>
      <c r="G39" s="231">
        <f>G29+SUM(G31:G38)</f>
        <v>85238803.4188034</v>
      </c>
      <c r="H39" s="231">
        <f t="shared" ref="H39:AE39" si="39">H29+SUM(H31:H38)</f>
        <v>82661277.6793167</v>
      </c>
      <c r="I39" s="231">
        <f t="shared" si="39"/>
        <v>81713927.102621</v>
      </c>
      <c r="J39" s="231">
        <f t="shared" si="39"/>
        <v>80758462.109224</v>
      </c>
      <c r="K39" s="231">
        <f t="shared" si="39"/>
        <v>78896679.0207448</v>
      </c>
      <c r="L39" s="231">
        <f t="shared" si="39"/>
        <v>77310343.1831066</v>
      </c>
      <c r="M39" s="231">
        <f t="shared" si="39"/>
        <v>76340953.5405127</v>
      </c>
      <c r="N39" s="231">
        <f t="shared" si="39"/>
        <v>75362252.4205614</v>
      </c>
      <c r="O39" s="231">
        <f t="shared" si="39"/>
        <v>74373913.9221251</v>
      </c>
      <c r="P39" s="231">
        <f t="shared" si="39"/>
        <v>73375600.7375375</v>
      </c>
      <c r="Q39" s="231">
        <f t="shared" si="39"/>
        <v>72366963.7533638</v>
      </c>
      <c r="R39" s="231">
        <f t="shared" si="39"/>
        <v>71347641.6371992</v>
      </c>
      <c r="S39" s="231">
        <f t="shared" si="39"/>
        <v>70317260.410005</v>
      </c>
      <c r="T39" s="231">
        <f t="shared" si="39"/>
        <v>69275433.0034762</v>
      </c>
      <c r="U39" s="231">
        <f t="shared" si="39"/>
        <v>68221758.8019174</v>
      </c>
      <c r="V39" s="231">
        <f t="shared" si="39"/>
        <v>67155823.168084</v>
      </c>
      <c r="W39" s="231">
        <f t="shared" si="39"/>
        <v>66077196.952428</v>
      </c>
      <c r="X39" s="231">
        <f t="shared" si="39"/>
        <v>64985435.9851675</v>
      </c>
      <c r="Y39" s="231">
        <f t="shared" si="39"/>
        <v>63880080.5505781</v>
      </c>
      <c r="Z39" s="231">
        <f t="shared" si="39"/>
        <v>62760654.8428856</v>
      </c>
      <c r="AA39" s="231">
        <f t="shared" si="39"/>
        <v>-13821278.3732602</v>
      </c>
      <c r="AB39" s="231">
        <f t="shared" si="39"/>
        <v>-14267047.0675707</v>
      </c>
      <c r="AC39" s="231">
        <f t="shared" si="39"/>
        <v>-14728415.7233674</v>
      </c>
      <c r="AD39" s="231">
        <f t="shared" si="39"/>
        <v>-15205930.3387195</v>
      </c>
      <c r="AE39" s="231">
        <f t="shared" si="39"/>
        <v>-15700156.0216285</v>
      </c>
    </row>
    <row r="40" ht="15" customHeight="1" spans="1:31">
      <c r="A40" s="179"/>
      <c r="B40" s="238"/>
      <c r="D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</row>
    <row r="41" s="169" customFormat="1" ht="15" customHeight="1" spans="1:31">
      <c r="A41" s="239" t="s">
        <v>137</v>
      </c>
      <c r="B41" s="240">
        <f>D41+汇总表!B18</f>
        <v>99627560.625</v>
      </c>
      <c r="C41" s="241"/>
      <c r="D41" s="212">
        <f>SUM(F41:Z41)</f>
        <v>-587459064.375</v>
      </c>
      <c r="E41" s="241"/>
      <c r="F41" s="212"/>
      <c r="G41" s="242">
        <f>(-Assump!$B$36*(1-Assump!$C$53)*(1-Assump!$B$25))/Assump!$B$24</f>
        <v>-29372953.21875</v>
      </c>
      <c r="H41" s="212">
        <f>G41</f>
        <v>-29372953.21875</v>
      </c>
      <c r="I41" s="212">
        <f t="shared" ref="I41:Z41" si="40">H41</f>
        <v>-29372953.21875</v>
      </c>
      <c r="J41" s="212">
        <f t="shared" si="40"/>
        <v>-29372953.21875</v>
      </c>
      <c r="K41" s="212">
        <f t="shared" si="40"/>
        <v>-29372953.21875</v>
      </c>
      <c r="L41" s="212">
        <f t="shared" si="40"/>
        <v>-29372953.21875</v>
      </c>
      <c r="M41" s="212">
        <f t="shared" si="40"/>
        <v>-29372953.21875</v>
      </c>
      <c r="N41" s="212">
        <f t="shared" si="40"/>
        <v>-29372953.21875</v>
      </c>
      <c r="O41" s="212">
        <f t="shared" si="40"/>
        <v>-29372953.21875</v>
      </c>
      <c r="P41" s="212">
        <f t="shared" si="40"/>
        <v>-29372953.21875</v>
      </c>
      <c r="Q41" s="212">
        <f t="shared" si="40"/>
        <v>-29372953.21875</v>
      </c>
      <c r="R41" s="212">
        <f t="shared" si="40"/>
        <v>-29372953.21875</v>
      </c>
      <c r="S41" s="212">
        <f t="shared" si="40"/>
        <v>-29372953.21875</v>
      </c>
      <c r="T41" s="212">
        <f t="shared" si="40"/>
        <v>-29372953.21875</v>
      </c>
      <c r="U41" s="212">
        <f t="shared" si="40"/>
        <v>-29372953.21875</v>
      </c>
      <c r="V41" s="212">
        <f t="shared" si="40"/>
        <v>-29372953.21875</v>
      </c>
      <c r="W41" s="212">
        <f t="shared" si="40"/>
        <v>-29372953.21875</v>
      </c>
      <c r="X41" s="212">
        <f t="shared" si="40"/>
        <v>-29372953.21875</v>
      </c>
      <c r="Y41" s="212">
        <f t="shared" si="40"/>
        <v>-29372953.21875</v>
      </c>
      <c r="Z41" s="212">
        <f t="shared" si="40"/>
        <v>-29372953.21875</v>
      </c>
      <c r="AA41" s="212">
        <v>0</v>
      </c>
      <c r="AB41" s="212">
        <v>0</v>
      </c>
      <c r="AC41" s="212">
        <v>0</v>
      </c>
      <c r="AD41" s="212">
        <v>0</v>
      </c>
      <c r="AE41" s="212">
        <v>0</v>
      </c>
    </row>
    <row r="42" ht="15" customHeight="1" spans="1:31">
      <c r="A42" s="179"/>
      <c r="B42" s="243">
        <f>B41/汇总表!B18</f>
        <v>0.145</v>
      </c>
      <c r="D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</row>
    <row r="43" s="168" customFormat="1" ht="15" customHeight="1" spans="1:31">
      <c r="A43" s="228" t="s">
        <v>138</v>
      </c>
      <c r="B43" s="244"/>
      <c r="C43" s="230"/>
      <c r="D43" s="231">
        <f t="shared" ref="D43:D47" si="41">SUM(G43:Z43)</f>
        <v>874961397.864658</v>
      </c>
      <c r="E43" s="230"/>
      <c r="F43" s="231">
        <f>F39-F41</f>
        <v>0</v>
      </c>
      <c r="G43" s="231">
        <f>G39+G41</f>
        <v>55865850.2000534</v>
      </c>
      <c r="H43" s="231">
        <f t="shared" ref="H43:AE43" si="42">H39+H41</f>
        <v>53288324.4605667</v>
      </c>
      <c r="I43" s="231">
        <f t="shared" si="42"/>
        <v>52340973.883871</v>
      </c>
      <c r="J43" s="231">
        <f t="shared" si="42"/>
        <v>51385508.890474</v>
      </c>
      <c r="K43" s="231">
        <f t="shared" si="42"/>
        <v>49523725.8019948</v>
      </c>
      <c r="L43" s="231">
        <f t="shared" si="42"/>
        <v>47937389.9643566</v>
      </c>
      <c r="M43" s="231">
        <f t="shared" si="42"/>
        <v>46968000.3217627</v>
      </c>
      <c r="N43" s="231">
        <f t="shared" si="42"/>
        <v>45989299.2018114</v>
      </c>
      <c r="O43" s="231">
        <f t="shared" si="42"/>
        <v>45000960.7033751</v>
      </c>
      <c r="P43" s="231">
        <f t="shared" si="42"/>
        <v>44002647.5187875</v>
      </c>
      <c r="Q43" s="231">
        <f t="shared" si="42"/>
        <v>42994010.5346138</v>
      </c>
      <c r="R43" s="231">
        <f t="shared" si="42"/>
        <v>41974688.4184492</v>
      </c>
      <c r="S43" s="231">
        <f t="shared" si="42"/>
        <v>40944307.191255</v>
      </c>
      <c r="T43" s="231">
        <f t="shared" si="42"/>
        <v>39902479.7847262</v>
      </c>
      <c r="U43" s="231">
        <f t="shared" si="42"/>
        <v>38848805.5831674</v>
      </c>
      <c r="V43" s="231">
        <f t="shared" si="42"/>
        <v>37782869.949334</v>
      </c>
      <c r="W43" s="231">
        <f t="shared" si="42"/>
        <v>36704243.733678</v>
      </c>
      <c r="X43" s="231">
        <f t="shared" si="42"/>
        <v>35612482.7664175</v>
      </c>
      <c r="Y43" s="231">
        <f t="shared" si="42"/>
        <v>34507127.3318281</v>
      </c>
      <c r="Z43" s="231">
        <f t="shared" si="42"/>
        <v>33387701.6241356</v>
      </c>
      <c r="AA43" s="231">
        <f t="shared" si="42"/>
        <v>-13821278.3732602</v>
      </c>
      <c r="AB43" s="231">
        <f t="shared" si="42"/>
        <v>-14267047.0675707</v>
      </c>
      <c r="AC43" s="231">
        <f t="shared" si="42"/>
        <v>-14728415.7233674</v>
      </c>
      <c r="AD43" s="231">
        <f t="shared" si="42"/>
        <v>-15205930.3387195</v>
      </c>
      <c r="AE43" s="231">
        <f t="shared" si="42"/>
        <v>-15700156.0216285</v>
      </c>
    </row>
    <row r="44" ht="15" customHeight="1" spans="1:31">
      <c r="A44" s="179"/>
      <c r="B44" s="245"/>
      <c r="D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</row>
    <row r="45" s="169" customFormat="1" ht="15" customHeight="1" spans="1:31">
      <c r="A45" s="239" t="s">
        <v>139</v>
      </c>
      <c r="B45" s="240"/>
      <c r="C45" s="246"/>
      <c r="D45" s="212">
        <f t="shared" si="41"/>
        <v>-286311896.921634</v>
      </c>
      <c r="E45" s="246"/>
      <c r="F45" s="212">
        <f>-F91</f>
        <v>0</v>
      </c>
      <c r="G45" s="212">
        <f>-G91</f>
        <v>-31262441.4375</v>
      </c>
      <c r="H45" s="212">
        <f t="shared" ref="H45:AE45" si="43">-H91</f>
        <v>-29969652.4817771</v>
      </c>
      <c r="I45" s="212">
        <f t="shared" si="43"/>
        <v>-28592832.2439322</v>
      </c>
      <c r="J45" s="212">
        <f t="shared" si="43"/>
        <v>-27126518.6906274</v>
      </c>
      <c r="K45" s="212">
        <f t="shared" si="43"/>
        <v>-25564894.7563577</v>
      </c>
      <c r="L45" s="212">
        <f t="shared" si="43"/>
        <v>-23901765.2663606</v>
      </c>
      <c r="M45" s="212">
        <f t="shared" si="43"/>
        <v>-22130532.3595136</v>
      </c>
      <c r="N45" s="212">
        <f t="shared" si="43"/>
        <v>-20244169.3137216</v>
      </c>
      <c r="O45" s="212">
        <f t="shared" si="43"/>
        <v>-18235192.669953</v>
      </c>
      <c r="P45" s="212">
        <f t="shared" si="43"/>
        <v>-16095632.5443396</v>
      </c>
      <c r="Q45" s="212">
        <f t="shared" si="43"/>
        <v>-13817001.0105612</v>
      </c>
      <c r="R45" s="212">
        <f t="shared" si="43"/>
        <v>-11390258.4270873</v>
      </c>
      <c r="S45" s="212">
        <f t="shared" si="43"/>
        <v>-8805777.57568756</v>
      </c>
      <c r="T45" s="212">
        <f t="shared" si="43"/>
        <v>-6053305.46894683</v>
      </c>
      <c r="U45" s="212">
        <f t="shared" si="43"/>
        <v>-3121922.67526797</v>
      </c>
      <c r="V45" s="212">
        <f t="shared" si="43"/>
        <v>2.9541552066803e-8</v>
      </c>
      <c r="W45" s="212">
        <f t="shared" si="43"/>
        <v>2.9541552066803e-8</v>
      </c>
      <c r="X45" s="212">
        <f t="shared" si="43"/>
        <v>2.9541552066803e-8</v>
      </c>
      <c r="Y45" s="212">
        <f t="shared" si="43"/>
        <v>2.9541552066803e-8</v>
      </c>
      <c r="Z45" s="212">
        <f t="shared" si="43"/>
        <v>2.9541552066803e-8</v>
      </c>
      <c r="AA45" s="212">
        <f t="shared" si="43"/>
        <v>2.9541552066803e-8</v>
      </c>
      <c r="AB45" s="212">
        <f t="shared" si="43"/>
        <v>2.9541552066803e-8</v>
      </c>
      <c r="AC45" s="212">
        <f t="shared" si="43"/>
        <v>2.9541552066803e-8</v>
      </c>
      <c r="AD45" s="212">
        <f t="shared" si="43"/>
        <v>2.9541552066803e-8</v>
      </c>
      <c r="AE45" s="212">
        <f t="shared" si="43"/>
        <v>2.9541552066803e-8</v>
      </c>
    </row>
    <row r="46" ht="15" customHeight="1" spans="1:31">
      <c r="A46" s="179"/>
      <c r="B46" s="247"/>
      <c r="D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</row>
    <row r="47" s="168" customFormat="1" ht="15" customHeight="1" spans="1:31">
      <c r="A47" s="228" t="s">
        <v>140</v>
      </c>
      <c r="B47" s="229"/>
      <c r="C47" s="230"/>
      <c r="D47" s="231">
        <f t="shared" si="41"/>
        <v>588649500.943025</v>
      </c>
      <c r="E47" s="230"/>
      <c r="F47" s="231">
        <f>F43+F45</f>
        <v>0</v>
      </c>
      <c r="G47" s="231">
        <f>G43+G45</f>
        <v>24603408.7625534</v>
      </c>
      <c r="H47" s="231">
        <f t="shared" ref="H47:AE47" si="44">H43+H45</f>
        <v>23318671.9787896</v>
      </c>
      <c r="I47" s="231">
        <f t="shared" si="44"/>
        <v>23748141.6399388</v>
      </c>
      <c r="J47" s="231">
        <f t="shared" si="44"/>
        <v>24258990.1998466</v>
      </c>
      <c r="K47" s="231">
        <f t="shared" si="44"/>
        <v>23958831.045637</v>
      </c>
      <c r="L47" s="231">
        <f t="shared" si="44"/>
        <v>24035624.697996</v>
      </c>
      <c r="M47" s="231">
        <f t="shared" si="44"/>
        <v>24837467.9622491</v>
      </c>
      <c r="N47" s="231">
        <f t="shared" si="44"/>
        <v>25745129.8880898</v>
      </c>
      <c r="O47" s="231">
        <f t="shared" si="44"/>
        <v>26765768.0334221</v>
      </c>
      <c r="P47" s="231">
        <f t="shared" si="44"/>
        <v>27907014.974448</v>
      </c>
      <c r="Q47" s="231">
        <f t="shared" si="44"/>
        <v>29177009.5240526</v>
      </c>
      <c r="R47" s="231">
        <f t="shared" si="44"/>
        <v>30584429.9913619</v>
      </c>
      <c r="S47" s="231">
        <f t="shared" si="44"/>
        <v>32138529.6155675</v>
      </c>
      <c r="T47" s="231">
        <f t="shared" si="44"/>
        <v>33849174.3157794</v>
      </c>
      <c r="U47" s="231">
        <f t="shared" si="44"/>
        <v>35726882.9078995</v>
      </c>
      <c r="V47" s="231">
        <f t="shared" si="44"/>
        <v>37782869.9493341</v>
      </c>
      <c r="W47" s="231">
        <f t="shared" si="44"/>
        <v>36704243.7336781</v>
      </c>
      <c r="X47" s="231">
        <f t="shared" si="44"/>
        <v>35612482.7664175</v>
      </c>
      <c r="Y47" s="231">
        <f t="shared" si="44"/>
        <v>34507127.3318281</v>
      </c>
      <c r="Z47" s="231">
        <f t="shared" si="44"/>
        <v>33387701.6241356</v>
      </c>
      <c r="AA47" s="231">
        <f t="shared" si="44"/>
        <v>-13821278.3732602</v>
      </c>
      <c r="AB47" s="231">
        <f t="shared" si="44"/>
        <v>-14267047.0675707</v>
      </c>
      <c r="AC47" s="231">
        <f t="shared" si="44"/>
        <v>-14728415.7233674</v>
      </c>
      <c r="AD47" s="231">
        <f t="shared" si="44"/>
        <v>-15205930.3387195</v>
      </c>
      <c r="AE47" s="231">
        <f t="shared" si="44"/>
        <v>-15700156.0216285</v>
      </c>
    </row>
    <row r="48" ht="15" customHeight="1" spans="1:31">
      <c r="A48" s="248"/>
      <c r="B48" s="249"/>
      <c r="C48" s="250"/>
      <c r="D48" s="251"/>
      <c r="E48" s="250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</row>
    <row r="49" ht="15" customHeight="1" spans="1:31">
      <c r="A49" s="239" t="s">
        <v>141</v>
      </c>
      <c r="B49" s="252">
        <f>Assump!B52</f>
        <v>0.25</v>
      </c>
      <c r="C49" s="252"/>
      <c r="D49" s="212">
        <f>SUM(G49:Z49)</f>
        <v>-120213138.897501</v>
      </c>
      <c r="E49" s="252"/>
      <c r="F49" s="212">
        <f>MAX(0,F47*$B$49)</f>
        <v>0</v>
      </c>
      <c r="G49" s="253"/>
      <c r="H49" s="253"/>
      <c r="I49" s="253"/>
      <c r="J49" s="282">
        <f>-MAX(0,J47*$B$49)/2</f>
        <v>-3032373.77498083</v>
      </c>
      <c r="K49" s="282">
        <f>-MAX(0,K47*$B$49)/2</f>
        <v>-2994853.88070463</v>
      </c>
      <c r="L49" s="282">
        <f>-MAX(0,L47*$B$49)/2</f>
        <v>-3004453.0872495</v>
      </c>
      <c r="M49" s="212">
        <f>-MAX(0,M47*$B$49)</f>
        <v>-6209366.99056229</v>
      </c>
      <c r="N49" s="212">
        <f t="shared" ref="N49:AE49" si="45">-MAX(0,N47*$B$49)</f>
        <v>-6436282.47202245</v>
      </c>
      <c r="O49" s="212">
        <f t="shared" si="45"/>
        <v>-6691442.00835553</v>
      </c>
      <c r="P49" s="212">
        <f t="shared" si="45"/>
        <v>-6976753.74361199</v>
      </c>
      <c r="Q49" s="212">
        <f t="shared" si="45"/>
        <v>-7294252.38101315</v>
      </c>
      <c r="R49" s="212">
        <f t="shared" si="45"/>
        <v>-7646107.49784049</v>
      </c>
      <c r="S49" s="212">
        <f t="shared" si="45"/>
        <v>-8034632.40389187</v>
      </c>
      <c r="T49" s="212">
        <f t="shared" si="45"/>
        <v>-8462293.57894485</v>
      </c>
      <c r="U49" s="212">
        <f t="shared" si="45"/>
        <v>-8931720.72697487</v>
      </c>
      <c r="V49" s="212">
        <f t="shared" si="45"/>
        <v>-9445717.48733352</v>
      </c>
      <c r="W49" s="212">
        <f t="shared" si="45"/>
        <v>-9176060.93341952</v>
      </c>
      <c r="X49" s="212">
        <f t="shared" si="45"/>
        <v>-8903120.69160437</v>
      </c>
      <c r="Y49" s="212">
        <f t="shared" si="45"/>
        <v>-8626781.83295703</v>
      </c>
      <c r="Z49" s="212">
        <f t="shared" si="45"/>
        <v>-8346925.4060339</v>
      </c>
      <c r="AA49" s="212">
        <f t="shared" si="45"/>
        <v>0</v>
      </c>
      <c r="AB49" s="212">
        <f t="shared" si="45"/>
        <v>0</v>
      </c>
      <c r="AC49" s="212">
        <f t="shared" si="45"/>
        <v>0</v>
      </c>
      <c r="AD49" s="212">
        <f t="shared" si="45"/>
        <v>0</v>
      </c>
      <c r="AE49" s="212">
        <f t="shared" si="45"/>
        <v>0</v>
      </c>
    </row>
    <row r="50" ht="15" customHeight="1" spans="1:31">
      <c r="A50" s="179"/>
      <c r="B50" s="254">
        <v>0.15</v>
      </c>
      <c r="AA50" s="284"/>
      <c r="AB50" s="284"/>
      <c r="AC50" s="284"/>
      <c r="AD50" s="284"/>
      <c r="AE50" s="284"/>
    </row>
    <row r="51" s="168" customFormat="1" ht="15" customHeight="1" spans="1:31">
      <c r="A51" s="228" t="s">
        <v>142</v>
      </c>
      <c r="B51" s="229"/>
      <c r="C51" s="230"/>
      <c r="D51" s="231">
        <f>SUM(G51:Z51)</f>
        <v>468436362.045524</v>
      </c>
      <c r="E51" s="230"/>
      <c r="F51" s="231">
        <f>F47-F49</f>
        <v>0</v>
      </c>
      <c r="G51" s="231">
        <f>G47+G49</f>
        <v>24603408.7625534</v>
      </c>
      <c r="H51" s="231">
        <f t="shared" ref="H51:AE51" si="46">H47+H49</f>
        <v>23318671.9787896</v>
      </c>
      <c r="I51" s="231">
        <f t="shared" si="46"/>
        <v>23748141.6399388</v>
      </c>
      <c r="J51" s="231">
        <f t="shared" si="46"/>
        <v>21226616.4248658</v>
      </c>
      <c r="K51" s="231">
        <f t="shared" si="46"/>
        <v>20963977.1649324</v>
      </c>
      <c r="L51" s="231">
        <f t="shared" si="46"/>
        <v>21031171.6107465</v>
      </c>
      <c r="M51" s="231">
        <f t="shared" si="46"/>
        <v>18628100.9716869</v>
      </c>
      <c r="N51" s="231">
        <f t="shared" si="46"/>
        <v>19308847.4160674</v>
      </c>
      <c r="O51" s="231">
        <f t="shared" si="46"/>
        <v>20074326.0250666</v>
      </c>
      <c r="P51" s="231">
        <f t="shared" si="46"/>
        <v>20930261.230836</v>
      </c>
      <c r="Q51" s="231">
        <f t="shared" si="46"/>
        <v>21882757.1430395</v>
      </c>
      <c r="R51" s="231">
        <f t="shared" si="46"/>
        <v>22938322.4935215</v>
      </c>
      <c r="S51" s="231">
        <f t="shared" si="46"/>
        <v>24103897.2116756</v>
      </c>
      <c r="T51" s="231">
        <f t="shared" si="46"/>
        <v>25386880.7368346</v>
      </c>
      <c r="U51" s="231">
        <f t="shared" si="46"/>
        <v>26795162.1809246</v>
      </c>
      <c r="V51" s="231">
        <f t="shared" si="46"/>
        <v>28337152.4620006</v>
      </c>
      <c r="W51" s="231">
        <f t="shared" si="46"/>
        <v>27528182.8002586</v>
      </c>
      <c r="X51" s="231">
        <f t="shared" si="46"/>
        <v>26709362.0748131</v>
      </c>
      <c r="Y51" s="231">
        <f t="shared" si="46"/>
        <v>25880345.4988711</v>
      </c>
      <c r="Z51" s="231">
        <f t="shared" si="46"/>
        <v>25040776.2181017</v>
      </c>
      <c r="AA51" s="231">
        <f t="shared" si="46"/>
        <v>-13821278.3732602</v>
      </c>
      <c r="AB51" s="231">
        <f t="shared" si="46"/>
        <v>-14267047.0675707</v>
      </c>
      <c r="AC51" s="231">
        <f t="shared" si="46"/>
        <v>-14728415.7233674</v>
      </c>
      <c r="AD51" s="231">
        <f t="shared" si="46"/>
        <v>-15205930.3387195</v>
      </c>
      <c r="AE51" s="231">
        <f t="shared" si="46"/>
        <v>-15700156.0216285</v>
      </c>
    </row>
    <row r="52" s="168" customFormat="1" ht="15" customHeight="1" spans="1:31">
      <c r="A52" s="255"/>
      <c r="B52" s="256"/>
      <c r="C52" s="230"/>
      <c r="D52" s="257"/>
      <c r="E52" s="230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</row>
    <row r="53" ht="15" customHeight="1" spans="1:31">
      <c r="A53" s="258" t="s">
        <v>104</v>
      </c>
      <c r="B53" s="187"/>
      <c r="C53" s="188"/>
      <c r="D53" s="220"/>
      <c r="E53" s="188"/>
      <c r="F53" s="220"/>
      <c r="G53" s="259">
        <f>G51/G29</f>
        <v>0.261352469641006</v>
      </c>
      <c r="H53" s="259">
        <f t="shared" ref="H53:Z53" si="47">H51/H29</f>
        <v>0.254056624647252</v>
      </c>
      <c r="I53" s="259">
        <f t="shared" si="47"/>
        <v>0.260768346790794</v>
      </c>
      <c r="J53" s="259">
        <f t="shared" si="47"/>
        <v>0.234926145257803</v>
      </c>
      <c r="K53" s="259">
        <f t="shared" si="47"/>
        <v>0.233871244713701</v>
      </c>
      <c r="L53" s="259">
        <f t="shared" si="47"/>
        <v>0.236508553625934</v>
      </c>
      <c r="M53" s="259">
        <f t="shared" si="47"/>
        <v>0.21118366308459</v>
      </c>
      <c r="N53" s="259">
        <f t="shared" si="47"/>
        <v>0.220691196237597</v>
      </c>
      <c r="O53" s="259">
        <f t="shared" si="47"/>
        <v>0.231331937709129</v>
      </c>
      <c r="P53" s="259">
        <f t="shared" si="47"/>
        <v>0.243200664979353</v>
      </c>
      <c r="Q53" s="259">
        <f t="shared" si="47"/>
        <v>0.256399782268308</v>
      </c>
      <c r="R53" s="259">
        <f t="shared" si="47"/>
        <v>0.271039937658983</v>
      </c>
      <c r="S53" s="259">
        <f t="shared" si="47"/>
        <v>0.287240691222322</v>
      </c>
      <c r="T53" s="259">
        <f t="shared" si="47"/>
        <v>0.305131238492077</v>
      </c>
      <c r="U53" s="259">
        <f t="shared" si="47"/>
        <v>0.324851194023101</v>
      </c>
      <c r="V53" s="259">
        <f t="shared" si="47"/>
        <v>0.346551440188116</v>
      </c>
      <c r="W53" s="259">
        <f t="shared" si="47"/>
        <v>0.339629744440964</v>
      </c>
      <c r="X53" s="259">
        <f t="shared" si="47"/>
        <v>0.332462145477666</v>
      </c>
      <c r="Y53" s="259">
        <f t="shared" si="47"/>
        <v>0.325037684289334</v>
      </c>
      <c r="Z53" s="259">
        <f t="shared" si="47"/>
        <v>0.317344851470227</v>
      </c>
      <c r="AA53" s="220"/>
      <c r="AB53" s="220"/>
      <c r="AC53" s="220"/>
      <c r="AD53" s="220"/>
      <c r="AE53" s="220"/>
    </row>
    <row r="54" s="170" customFormat="1" ht="15" customHeight="1" spans="1:31">
      <c r="A54" s="188" t="s">
        <v>143</v>
      </c>
      <c r="B54" s="187"/>
      <c r="C54" s="188"/>
      <c r="D54" s="220"/>
      <c r="E54" s="188"/>
      <c r="F54" s="220"/>
      <c r="G54" s="220">
        <f>Assump!B36</f>
        <v>687086625</v>
      </c>
      <c r="H54" s="220">
        <f t="shared" ref="H54:AE54" si="48">G54+G41</f>
        <v>657713671.78125</v>
      </c>
      <c r="I54" s="220">
        <f t="shared" si="48"/>
        <v>628340718.5625</v>
      </c>
      <c r="J54" s="220">
        <f t="shared" si="48"/>
        <v>598967765.34375</v>
      </c>
      <c r="K54" s="220">
        <f t="shared" si="48"/>
        <v>569594812.125</v>
      </c>
      <c r="L54" s="220">
        <f t="shared" si="48"/>
        <v>540221858.90625</v>
      </c>
      <c r="M54" s="220">
        <f t="shared" si="48"/>
        <v>510848905.6875</v>
      </c>
      <c r="N54" s="220">
        <f t="shared" si="48"/>
        <v>481475952.46875</v>
      </c>
      <c r="O54" s="220">
        <f t="shared" si="48"/>
        <v>452102999.25</v>
      </c>
      <c r="P54" s="220">
        <f t="shared" si="48"/>
        <v>422730046.03125</v>
      </c>
      <c r="Q54" s="220">
        <f t="shared" si="48"/>
        <v>393357092.8125</v>
      </c>
      <c r="R54" s="220">
        <f t="shared" si="48"/>
        <v>363984139.59375</v>
      </c>
      <c r="S54" s="220">
        <f t="shared" si="48"/>
        <v>334611186.375</v>
      </c>
      <c r="T54" s="220">
        <f t="shared" si="48"/>
        <v>305238233.15625</v>
      </c>
      <c r="U54" s="220">
        <f t="shared" si="48"/>
        <v>275865279.9375</v>
      </c>
      <c r="V54" s="220">
        <f t="shared" si="48"/>
        <v>246492326.71875</v>
      </c>
      <c r="W54" s="220">
        <f t="shared" si="48"/>
        <v>217119373.5</v>
      </c>
      <c r="X54" s="220">
        <f t="shared" si="48"/>
        <v>187746420.28125</v>
      </c>
      <c r="Y54" s="220">
        <f t="shared" si="48"/>
        <v>158373467.0625</v>
      </c>
      <c r="Z54" s="220">
        <f t="shared" si="48"/>
        <v>129000513.84375</v>
      </c>
      <c r="AA54" s="220">
        <f t="shared" si="48"/>
        <v>99627560.625</v>
      </c>
      <c r="AB54" s="220">
        <f t="shared" si="48"/>
        <v>99627560.625</v>
      </c>
      <c r="AC54" s="220">
        <f t="shared" si="48"/>
        <v>99627560.625</v>
      </c>
      <c r="AD54" s="220">
        <f t="shared" si="48"/>
        <v>99627560.625</v>
      </c>
      <c r="AE54" s="220">
        <f t="shared" si="48"/>
        <v>99627560.625</v>
      </c>
    </row>
    <row r="55" s="170" customFormat="1" ht="15" customHeight="1" spans="1:31">
      <c r="A55" s="188" t="s">
        <v>144</v>
      </c>
      <c r="B55" s="187"/>
      <c r="C55" s="188"/>
      <c r="D55" s="220"/>
      <c r="E55" s="188"/>
      <c r="F55" s="220"/>
      <c r="G55" s="220">
        <f>G54*Assump!$C$39</f>
        <v>206125987.5</v>
      </c>
      <c r="H55" s="220">
        <f>H54*Assump!$C$39</f>
        <v>197314101.534375</v>
      </c>
      <c r="I55" s="220">
        <f>I54*Assump!$C$39</f>
        <v>188502215.56875</v>
      </c>
      <c r="J55" s="220">
        <f>J54*Assump!$C$39</f>
        <v>179690329.603125</v>
      </c>
      <c r="K55" s="220">
        <f>K54*Assump!$C$39</f>
        <v>170878443.6375</v>
      </c>
      <c r="L55" s="220">
        <f>L54*Assump!$C$39</f>
        <v>162066557.671875</v>
      </c>
      <c r="M55" s="220">
        <f>M54*Assump!$C$39</f>
        <v>153254671.70625</v>
      </c>
      <c r="N55" s="220">
        <f>N54*Assump!$C$39</f>
        <v>144442785.740625</v>
      </c>
      <c r="O55" s="220">
        <f>O54*Assump!$C$39</f>
        <v>135630899.775</v>
      </c>
      <c r="P55" s="220">
        <f>P54*Assump!$C$39</f>
        <v>126819013.809375</v>
      </c>
      <c r="Q55" s="220">
        <f>Q54*Assump!$C$39</f>
        <v>118007127.84375</v>
      </c>
      <c r="R55" s="220">
        <f>R54*Assump!$C$39</f>
        <v>109195241.878125</v>
      </c>
      <c r="S55" s="220">
        <f>S54*Assump!$C$39</f>
        <v>100383355.9125</v>
      </c>
      <c r="T55" s="220">
        <f>T54*Assump!$C$39</f>
        <v>91571469.946875</v>
      </c>
      <c r="U55" s="220">
        <f>U54*Assump!$C$39</f>
        <v>82759583.98125</v>
      </c>
      <c r="V55" s="220">
        <f>V54*Assump!$C$39</f>
        <v>73947698.015625</v>
      </c>
      <c r="W55" s="220">
        <f>W54*Assump!$C$39</f>
        <v>65135812.05</v>
      </c>
      <c r="X55" s="220">
        <f>X54*Assump!$C$39</f>
        <v>56323926.084375</v>
      </c>
      <c r="Y55" s="220">
        <f>Y54*Assump!$C$39</f>
        <v>47512040.11875</v>
      </c>
      <c r="Z55" s="220">
        <f>Z54*Assump!$C$39</f>
        <v>38700154.153125</v>
      </c>
      <c r="AA55" s="220">
        <f>AA54*Assump!$C$39</f>
        <v>29888268.1875</v>
      </c>
      <c r="AB55" s="220">
        <f>AB54*Assump!$C$39</f>
        <v>29888268.1875</v>
      </c>
      <c r="AC55" s="220">
        <f>AC54*Assump!$C$39</f>
        <v>29888268.1875</v>
      </c>
      <c r="AD55" s="220">
        <f>AD54*Assump!$C$39</f>
        <v>29888268.1875</v>
      </c>
      <c r="AE55" s="220">
        <f>AE54*Assump!$C$39</f>
        <v>29888268.1875</v>
      </c>
    </row>
    <row r="56" s="170" customFormat="1" ht="15" customHeight="1" spans="1:31">
      <c r="A56" s="188" t="s">
        <v>145</v>
      </c>
      <c r="B56" s="187"/>
      <c r="C56" s="188"/>
      <c r="D56" s="260">
        <f t="shared" ref="D56:D59" si="49">AVERAGE(G56:Z56)</f>
        <v>0.0751621453542949</v>
      </c>
      <c r="E56" s="188"/>
      <c r="F56" s="220"/>
      <c r="G56" s="260">
        <f t="shared" ref="G56:AE56" si="50">G51/G54</f>
        <v>0.0358083069402689</v>
      </c>
      <c r="H56" s="260">
        <f t="shared" si="50"/>
        <v>0.0354541390566459</v>
      </c>
      <c r="I56" s="260">
        <f t="shared" si="50"/>
        <v>0.0377950066554163</v>
      </c>
      <c r="J56" s="260">
        <f t="shared" si="50"/>
        <v>0.0354386624006114</v>
      </c>
      <c r="K56" s="260">
        <f t="shared" si="50"/>
        <v>0.0368050704091241</v>
      </c>
      <c r="L56" s="260">
        <f t="shared" si="50"/>
        <v>0.0389306194557304</v>
      </c>
      <c r="M56" s="260">
        <f t="shared" si="50"/>
        <v>0.0364649914373746</v>
      </c>
      <c r="N56" s="260">
        <f t="shared" si="50"/>
        <v>0.0401034513085481</v>
      </c>
      <c r="O56" s="260">
        <f t="shared" si="50"/>
        <v>0.0444021076134601</v>
      </c>
      <c r="P56" s="260">
        <f t="shared" si="50"/>
        <v>0.0495121210979376</v>
      </c>
      <c r="Q56" s="260">
        <f t="shared" si="50"/>
        <v>0.0556307679278844</v>
      </c>
      <c r="R56" s="260">
        <f t="shared" si="50"/>
        <v>0.0630201154344895</v>
      </c>
      <c r="S56" s="260">
        <f t="shared" si="50"/>
        <v>0.0720355391366452</v>
      </c>
      <c r="T56" s="260">
        <f t="shared" si="50"/>
        <v>0.0831707105441117</v>
      </c>
      <c r="U56" s="260">
        <f t="shared" si="50"/>
        <v>0.0971313323191498</v>
      </c>
      <c r="V56" s="260">
        <f t="shared" si="50"/>
        <v>0.114961600789843</v>
      </c>
      <c r="W56" s="260">
        <f t="shared" si="50"/>
        <v>0.126788237993228</v>
      </c>
      <c r="X56" s="260">
        <f t="shared" si="50"/>
        <v>0.142262963175552</v>
      </c>
      <c r="Y56" s="260">
        <f t="shared" si="50"/>
        <v>0.163413392273958</v>
      </c>
      <c r="Z56" s="260">
        <f t="shared" si="50"/>
        <v>0.19411377111592</v>
      </c>
      <c r="AA56" s="260">
        <f t="shared" si="50"/>
        <v>-0.138729466892036</v>
      </c>
      <c r="AB56" s="260">
        <f t="shared" si="50"/>
        <v>-0.143203818080743</v>
      </c>
      <c r="AC56" s="260">
        <f t="shared" si="50"/>
        <v>-0.14783475206028</v>
      </c>
      <c r="AD56" s="260">
        <f t="shared" si="50"/>
        <v>-0.152627749222476</v>
      </c>
      <c r="AE56" s="260">
        <f t="shared" si="50"/>
        <v>-0.157588481772872</v>
      </c>
    </row>
    <row r="57" s="170" customFormat="1" ht="15" customHeight="1" spans="1:31">
      <c r="A57" s="188" t="s">
        <v>146</v>
      </c>
      <c r="B57" s="261" t="s">
        <v>147</v>
      </c>
      <c r="C57" s="188"/>
      <c r="D57" s="260">
        <f t="shared" si="49"/>
        <v>0.11362865200234</v>
      </c>
      <c r="E57" s="188"/>
      <c r="F57" s="220"/>
      <c r="G57" s="262">
        <f>G51/Assump!$B$39</f>
        <v>0.11936102313423</v>
      </c>
      <c r="H57" s="262">
        <f>H51/Assump!$B$39</f>
        <v>0.113128248706581</v>
      </c>
      <c r="I57" s="262">
        <f>I51/Assump!$B$39</f>
        <v>0.115211778621261</v>
      </c>
      <c r="J57" s="262">
        <f>J51/Assump!$B$39</f>
        <v>0.102978846492443</v>
      </c>
      <c r="K57" s="262">
        <f>K51/Assump!$B$39</f>
        <v>0.101704677897213</v>
      </c>
      <c r="L57" s="260">
        <f>L51/Assump!$B$39</f>
        <v>0.102030665156894</v>
      </c>
      <c r="M57" s="260">
        <f>M51/Assump!$B$39</f>
        <v>0.09037240377896</v>
      </c>
      <c r="N57" s="260">
        <f>N51/Assump!$B$39</f>
        <v>0.093674978348217</v>
      </c>
      <c r="O57" s="260">
        <f>O51/Assump!$B$39</f>
        <v>0.0973886226988559</v>
      </c>
      <c r="P57" s="260">
        <f>P51/Assump!$B$39</f>
        <v>0.101541108351687</v>
      </c>
      <c r="Q57" s="260">
        <f>Q51/Assump!$B$39</f>
        <v>0.106162048795713</v>
      </c>
      <c r="R57" s="260">
        <f>R51/Assump!$B$39</f>
        <v>0.111283020504736</v>
      </c>
      <c r="S57" s="260">
        <f>S51/Assump!$B$39</f>
        <v>0.116937691865154</v>
      </c>
      <c r="T57" s="260">
        <f>T51/Assump!$B$39</f>
        <v>0.123161960530739</v>
      </c>
      <c r="U57" s="260">
        <f>U51/Assump!$B$39</f>
        <v>0.129994099753796</v>
      </c>
      <c r="V57" s="260">
        <f>V51/Assump!$B$39</f>
        <v>0.137474914277854</v>
      </c>
      <c r="W57" s="260">
        <f>W51/Assump!$B$39</f>
        <v>0.133550277352867</v>
      </c>
      <c r="X57" s="260">
        <f>X51/Assump!$B$39</f>
        <v>0.129577848959065</v>
      </c>
      <c r="Y57" s="260">
        <f>Y51/Assump!$B$39</f>
        <v>0.125555956397158</v>
      </c>
      <c r="Z57" s="260">
        <f>Z51/Assump!$B$39</f>
        <v>0.12148286842338</v>
      </c>
      <c r="AA57" s="260">
        <f t="shared" ref="AA57:AE57" si="51">AA51/AA55</f>
        <v>-0.462431556306785</v>
      </c>
      <c r="AB57" s="260">
        <f t="shared" si="51"/>
        <v>-0.477346060269143</v>
      </c>
      <c r="AC57" s="260">
        <f t="shared" si="51"/>
        <v>-0.4927825068676</v>
      </c>
      <c r="AD57" s="260">
        <f t="shared" si="51"/>
        <v>-0.50875916407492</v>
      </c>
      <c r="AE57" s="260">
        <f t="shared" si="51"/>
        <v>-0.525294939242905</v>
      </c>
    </row>
    <row r="58" s="171" customFormat="1" ht="15" customHeight="1" spans="1:31">
      <c r="A58" s="188"/>
      <c r="B58" s="187"/>
      <c r="C58" s="188"/>
      <c r="D58" s="220"/>
      <c r="E58" s="188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</row>
    <row r="59" s="171" customFormat="1" ht="15" customHeight="1" spans="1:31">
      <c r="A59" s="263" t="s">
        <v>148</v>
      </c>
      <c r="B59" s="264"/>
      <c r="C59" s="265"/>
      <c r="D59" s="266">
        <f t="shared" si="49"/>
        <v>0.495945998078008</v>
      </c>
      <c r="E59" s="265"/>
      <c r="F59" s="267"/>
      <c r="G59" s="266">
        <f t="shared" ref="G59:AE59" si="52">(-SUM(G31:G37)-G41-G45-G49)/G23</f>
        <v>0.505058140416406</v>
      </c>
      <c r="H59" s="266">
        <f t="shared" si="52"/>
        <v>0.510046752377947</v>
      </c>
      <c r="I59" s="266">
        <f t="shared" si="52"/>
        <v>0.505457540655867</v>
      </c>
      <c r="J59" s="266">
        <f t="shared" si="52"/>
        <v>0.523127422045947</v>
      </c>
      <c r="K59" s="266">
        <f t="shared" si="52"/>
        <v>0.523848721563281</v>
      </c>
      <c r="L59" s="266">
        <f t="shared" si="52"/>
        <v>0.522045433418165</v>
      </c>
      <c r="M59" s="283">
        <f t="shared" si="52"/>
        <v>0.539361597890879</v>
      </c>
      <c r="N59" s="283">
        <f t="shared" si="52"/>
        <v>0.532860720521301</v>
      </c>
      <c r="O59" s="283">
        <f t="shared" si="52"/>
        <v>0.525584999857006</v>
      </c>
      <c r="P59" s="283">
        <f t="shared" si="52"/>
        <v>0.517469630783348</v>
      </c>
      <c r="Q59" s="283">
        <f t="shared" si="52"/>
        <v>0.508444593320815</v>
      </c>
      <c r="R59" s="283">
        <f t="shared" si="52"/>
        <v>0.498434230660524</v>
      </c>
      <c r="S59" s="283">
        <f t="shared" si="52"/>
        <v>0.487356792326618</v>
      </c>
      <c r="T59" s="283">
        <f t="shared" si="52"/>
        <v>0.475123939492597</v>
      </c>
      <c r="U59" s="283">
        <f t="shared" si="52"/>
        <v>0.461640209214974</v>
      </c>
      <c r="V59" s="283">
        <f t="shared" si="52"/>
        <v>0.446802434059408</v>
      </c>
      <c r="W59" s="283">
        <f t="shared" si="52"/>
        <v>0.451535217476264</v>
      </c>
      <c r="X59" s="283">
        <f t="shared" si="52"/>
        <v>0.456436139844331</v>
      </c>
      <c r="Y59" s="283">
        <f t="shared" si="52"/>
        <v>0.46151269450302</v>
      </c>
      <c r="Z59" s="283">
        <f t="shared" si="52"/>
        <v>0.466772751131469</v>
      </c>
      <c r="AA59" s="283">
        <f t="shared" si="52"/>
        <v>0.120862546090064</v>
      </c>
      <c r="AB59" s="283">
        <f t="shared" si="52"/>
        <v>0.125912750293862</v>
      </c>
      <c r="AC59" s="283">
        <f t="shared" si="52"/>
        <v>0.131196055659587</v>
      </c>
      <c r="AD59" s="283">
        <f t="shared" si="52"/>
        <v>0.136723950758273</v>
      </c>
      <c r="AE59" s="283">
        <f t="shared" si="52"/>
        <v>0.142508534076228</v>
      </c>
    </row>
    <row r="60" s="172" customFormat="1" ht="15" customHeight="1" spans="1:31">
      <c r="A60" s="188"/>
      <c r="B60" s="187"/>
      <c r="C60" s="188"/>
      <c r="D60" s="220"/>
      <c r="E60" s="188"/>
      <c r="F60" s="220"/>
      <c r="G60" s="220">
        <f>-(SUM(G31:G37,G41,G45,G49))</f>
        <v>69535394.65625</v>
      </c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</row>
    <row r="61" ht="15" customHeight="1" spans="1:31">
      <c r="A61" s="225" t="s">
        <v>149</v>
      </c>
      <c r="B61" s="187"/>
      <c r="C61" s="188"/>
      <c r="D61" s="220">
        <f>SUM(F61:Z61)</f>
        <v>30918897.6199419</v>
      </c>
      <c r="E61" s="188"/>
      <c r="F61" s="220"/>
      <c r="G61" s="266">
        <f>-G60/G23</f>
        <v>-0.505058140416406</v>
      </c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>
        <f>(Assump!$B$36-Assump!B53)*Assump!$B$25</f>
        <v>30918898.125</v>
      </c>
      <c r="AA61" s="220"/>
      <c r="AB61" s="220"/>
      <c r="AC61" s="220"/>
      <c r="AD61" s="220"/>
      <c r="AE61" s="220"/>
    </row>
    <row r="62" s="173" customFormat="1" ht="15" customHeight="1" spans="1:31">
      <c r="A62" s="268"/>
      <c r="B62" s="269"/>
      <c r="C62" s="269"/>
      <c r="D62" s="270"/>
      <c r="E62" s="269"/>
      <c r="F62" s="270"/>
      <c r="G62" s="220">
        <f>(-SUM(G31:G37)-G41-G45-G49)</f>
        <v>69535394.65625</v>
      </c>
      <c r="H62" s="266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85"/>
      <c r="AA62" s="270"/>
      <c r="AB62" s="270"/>
      <c r="AC62" s="270"/>
      <c r="AD62" s="270"/>
      <c r="AE62" s="270"/>
    </row>
    <row r="63" ht="25.5" customHeight="1" spans="1:31">
      <c r="A63" s="271" t="s">
        <v>150</v>
      </c>
      <c r="B63" s="187"/>
      <c r="C63" s="187"/>
      <c r="D63" s="272"/>
      <c r="E63" s="187"/>
      <c r="F63" s="272"/>
      <c r="G63" s="273" t="s">
        <v>151</v>
      </c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</row>
    <row r="64" s="174" customFormat="1" ht="15" customHeight="1" spans="1:31">
      <c r="A64" s="274" t="s">
        <v>152</v>
      </c>
      <c r="B64" s="275"/>
      <c r="C64" s="276"/>
      <c r="D64" s="277"/>
      <c r="E64" s="276"/>
      <c r="F64" s="278">
        <v>0</v>
      </c>
      <c r="G64" s="278">
        <v>1</v>
      </c>
      <c r="H64" s="278">
        <v>2</v>
      </c>
      <c r="I64" s="278">
        <v>3</v>
      </c>
      <c r="J64" s="278">
        <v>4</v>
      </c>
      <c r="K64" s="278">
        <v>5</v>
      </c>
      <c r="L64" s="278">
        <v>6</v>
      </c>
      <c r="M64" s="278">
        <v>7</v>
      </c>
      <c r="N64" s="278">
        <v>8</v>
      </c>
      <c r="O64" s="278">
        <v>9</v>
      </c>
      <c r="P64" s="278">
        <v>10</v>
      </c>
      <c r="Q64" s="278">
        <v>11</v>
      </c>
      <c r="R64" s="278">
        <v>12</v>
      </c>
      <c r="S64" s="278">
        <v>13</v>
      </c>
      <c r="T64" s="278">
        <v>14</v>
      </c>
      <c r="U64" s="278">
        <v>15</v>
      </c>
      <c r="V64" s="278">
        <v>16</v>
      </c>
      <c r="W64" s="278">
        <v>17</v>
      </c>
      <c r="X64" s="278">
        <v>18</v>
      </c>
      <c r="Y64" s="278">
        <v>19</v>
      </c>
      <c r="Z64" s="278">
        <v>20</v>
      </c>
      <c r="AA64" s="277">
        <f t="shared" ref="AA64:AE64" si="53">Z64+365</f>
        <v>385</v>
      </c>
      <c r="AB64" s="277">
        <f t="shared" si="53"/>
        <v>750</v>
      </c>
      <c r="AC64" s="277">
        <f>AB64+366</f>
        <v>1116</v>
      </c>
      <c r="AD64" s="277">
        <f t="shared" si="53"/>
        <v>1481</v>
      </c>
      <c r="AE64" s="277">
        <f t="shared" si="53"/>
        <v>1846</v>
      </c>
    </row>
    <row r="65" s="174" customFormat="1" ht="15" customHeight="1" spans="1:31">
      <c r="A65" s="286" t="s">
        <v>153</v>
      </c>
      <c r="B65" s="187"/>
      <c r="C65" s="187"/>
      <c r="D65" s="212">
        <f t="shared" ref="D65:D70" si="54">SUM(F65:Z65)</f>
        <v>874961397.864658</v>
      </c>
      <c r="E65" s="187"/>
      <c r="F65" s="212"/>
      <c r="G65" s="212">
        <f>G43</f>
        <v>55865850.2000534</v>
      </c>
      <c r="H65" s="212">
        <f t="shared" ref="H65:AE65" si="55">H43</f>
        <v>53288324.4605667</v>
      </c>
      <c r="I65" s="212">
        <f t="shared" si="55"/>
        <v>52340973.883871</v>
      </c>
      <c r="J65" s="212">
        <f t="shared" si="55"/>
        <v>51385508.890474</v>
      </c>
      <c r="K65" s="212">
        <f t="shared" si="55"/>
        <v>49523725.8019948</v>
      </c>
      <c r="L65" s="212">
        <f t="shared" si="55"/>
        <v>47937389.9643566</v>
      </c>
      <c r="M65" s="212">
        <f t="shared" si="55"/>
        <v>46968000.3217627</v>
      </c>
      <c r="N65" s="212">
        <f t="shared" si="55"/>
        <v>45989299.2018114</v>
      </c>
      <c r="O65" s="212">
        <f t="shared" si="55"/>
        <v>45000960.7033751</v>
      </c>
      <c r="P65" s="212">
        <f t="shared" si="55"/>
        <v>44002647.5187875</v>
      </c>
      <c r="Q65" s="212">
        <f t="shared" si="55"/>
        <v>42994010.5346138</v>
      </c>
      <c r="R65" s="212">
        <f t="shared" si="55"/>
        <v>41974688.4184492</v>
      </c>
      <c r="S65" s="212">
        <f t="shared" si="55"/>
        <v>40944307.191255</v>
      </c>
      <c r="T65" s="212">
        <f t="shared" si="55"/>
        <v>39902479.7847262</v>
      </c>
      <c r="U65" s="212">
        <f t="shared" si="55"/>
        <v>38848805.5831674</v>
      </c>
      <c r="V65" s="212">
        <f t="shared" si="55"/>
        <v>37782869.949334</v>
      </c>
      <c r="W65" s="212">
        <f t="shared" si="55"/>
        <v>36704243.733678</v>
      </c>
      <c r="X65" s="212">
        <f t="shared" si="55"/>
        <v>35612482.7664175</v>
      </c>
      <c r="Y65" s="212">
        <f t="shared" si="55"/>
        <v>34507127.3318281</v>
      </c>
      <c r="Z65" s="212">
        <f t="shared" si="55"/>
        <v>33387701.6241356</v>
      </c>
      <c r="AA65" s="212">
        <f t="shared" si="55"/>
        <v>-13821278.3732602</v>
      </c>
      <c r="AB65" s="212">
        <f t="shared" si="55"/>
        <v>-14267047.0675707</v>
      </c>
      <c r="AC65" s="212">
        <f t="shared" si="55"/>
        <v>-14728415.7233674</v>
      </c>
      <c r="AD65" s="212">
        <f t="shared" si="55"/>
        <v>-15205930.3387195</v>
      </c>
      <c r="AE65" s="212">
        <f t="shared" si="55"/>
        <v>-15700156.0216285</v>
      </c>
    </row>
    <row r="66" s="174" customFormat="1" ht="15" customHeight="1" spans="1:31">
      <c r="A66" s="287" t="s">
        <v>114</v>
      </c>
      <c r="B66" s="187"/>
      <c r="C66" s="187"/>
      <c r="D66" s="212">
        <f t="shared" si="54"/>
        <v>68708662.5</v>
      </c>
      <c r="E66" s="187"/>
      <c r="F66" s="212">
        <f>-F27</f>
        <v>0</v>
      </c>
      <c r="G66" s="212">
        <f>增值税!G13-增值税!G19</f>
        <v>16003596.5811966</v>
      </c>
      <c r="H66" s="212">
        <f>增值税!H13-增值税!H19</f>
        <v>15603506.6666667</v>
      </c>
      <c r="I66" s="212">
        <f>增值税!I13-增值税!I19</f>
        <v>15481879.3326496</v>
      </c>
      <c r="J66" s="212">
        <f>增值税!J13-增值税!J19</f>
        <v>15360251.9986325</v>
      </c>
      <c r="K66" s="212">
        <f>增值税!K13-增值税!K19</f>
        <v>6259427.9208547</v>
      </c>
      <c r="L66" s="212">
        <f>增值税!L13-增值税!L19</f>
        <v>0</v>
      </c>
      <c r="M66" s="212">
        <f>增值税!M13-增值税!M19</f>
        <v>0</v>
      </c>
      <c r="N66" s="212">
        <f>增值税!N13-增值税!N19</f>
        <v>0</v>
      </c>
      <c r="O66" s="212">
        <f>增值税!O13-增值税!O19</f>
        <v>0</v>
      </c>
      <c r="P66" s="212">
        <f>增值税!P13-增值税!P19</f>
        <v>0</v>
      </c>
      <c r="Q66" s="212">
        <f>增值税!Q13-增值税!Q19</f>
        <v>0</v>
      </c>
      <c r="R66" s="212">
        <f>增值税!R13-增值税!R19</f>
        <v>0</v>
      </c>
      <c r="S66" s="212">
        <f>增值税!S13-增值税!S19</f>
        <v>0</v>
      </c>
      <c r="T66" s="212">
        <f>增值税!T13-增值税!T19</f>
        <v>0</v>
      </c>
      <c r="U66" s="212">
        <f>增值税!U13-增值税!U19</f>
        <v>0</v>
      </c>
      <c r="V66" s="212">
        <f>增值税!V13-增值税!V19</f>
        <v>0</v>
      </c>
      <c r="W66" s="212">
        <f>增值税!W13-增值税!W19</f>
        <v>0</v>
      </c>
      <c r="X66" s="212">
        <f>增值税!X13-增值税!X19</f>
        <v>0</v>
      </c>
      <c r="Y66" s="212">
        <f>增值税!Y13-增值税!Y19</f>
        <v>0</v>
      </c>
      <c r="Z66" s="212">
        <f>增值税!Z13-增值税!Z19</f>
        <v>0</v>
      </c>
      <c r="AA66" s="212"/>
      <c r="AB66" s="212"/>
      <c r="AC66" s="212"/>
      <c r="AD66" s="212"/>
      <c r="AE66" s="212"/>
    </row>
    <row r="67" s="174" customFormat="1" ht="15" customHeight="1" spans="1:31">
      <c r="A67" s="286" t="s">
        <v>154</v>
      </c>
      <c r="B67" s="288">
        <f>$B$49</f>
        <v>0.25</v>
      </c>
      <c r="C67" s="187"/>
      <c r="D67" s="289">
        <f t="shared" si="54"/>
        <v>-159760734.247939</v>
      </c>
      <c r="E67" s="187"/>
      <c r="F67" s="212"/>
      <c r="G67" s="253"/>
      <c r="H67" s="253"/>
      <c r="I67" s="253"/>
      <c r="J67" s="282">
        <f>-MAX(0,J65*$B$67)/2</f>
        <v>-6423188.61130925</v>
      </c>
      <c r="K67" s="282">
        <f>-MAX(0,K65*$B$67)/2</f>
        <v>-6190465.72524935</v>
      </c>
      <c r="L67" s="282">
        <f>-MAX(0,L65*$B$67)/2</f>
        <v>-5992173.74554457</v>
      </c>
      <c r="M67" s="212">
        <f t="shared" ref="M67:AE67" si="56">-MAX(0,M65*$B$67)</f>
        <v>-11742000.0804407</v>
      </c>
      <c r="N67" s="212">
        <f t="shared" si="56"/>
        <v>-11497324.8004528</v>
      </c>
      <c r="O67" s="212">
        <f t="shared" si="56"/>
        <v>-11250240.1758438</v>
      </c>
      <c r="P67" s="212">
        <f t="shared" si="56"/>
        <v>-11000661.8796969</v>
      </c>
      <c r="Q67" s="212">
        <f t="shared" si="56"/>
        <v>-10748502.6336535</v>
      </c>
      <c r="R67" s="212">
        <f t="shared" si="56"/>
        <v>-10493672.1046123</v>
      </c>
      <c r="S67" s="212">
        <f t="shared" si="56"/>
        <v>-10236076.7978138</v>
      </c>
      <c r="T67" s="212">
        <f t="shared" si="56"/>
        <v>-9975619.94618156</v>
      </c>
      <c r="U67" s="212">
        <f t="shared" si="56"/>
        <v>-9712201.39579186</v>
      </c>
      <c r="V67" s="212">
        <f t="shared" si="56"/>
        <v>-9445717.48733351</v>
      </c>
      <c r="W67" s="212">
        <f t="shared" si="56"/>
        <v>-9176060.93341951</v>
      </c>
      <c r="X67" s="212">
        <f t="shared" si="56"/>
        <v>-8903120.69160436</v>
      </c>
      <c r="Y67" s="212">
        <f t="shared" si="56"/>
        <v>-8626781.83295702</v>
      </c>
      <c r="Z67" s="212">
        <f t="shared" si="56"/>
        <v>-8346925.40603389</v>
      </c>
      <c r="AA67" s="212">
        <f t="shared" si="56"/>
        <v>0</v>
      </c>
      <c r="AB67" s="212">
        <f t="shared" si="56"/>
        <v>0</v>
      </c>
      <c r="AC67" s="212">
        <f t="shared" si="56"/>
        <v>0</v>
      </c>
      <c r="AD67" s="212">
        <f t="shared" si="56"/>
        <v>0</v>
      </c>
      <c r="AE67" s="212">
        <f t="shared" si="56"/>
        <v>0</v>
      </c>
    </row>
    <row r="68" s="174" customFormat="1" ht="15" customHeight="1" spans="1:31">
      <c r="A68" s="286" t="s">
        <v>155</v>
      </c>
      <c r="B68" s="288"/>
      <c r="C68" s="187"/>
      <c r="D68" s="212">
        <f t="shared" si="54"/>
        <v>587459064.375</v>
      </c>
      <c r="E68" s="187"/>
      <c r="F68" s="212"/>
      <c r="G68" s="212">
        <f>-G41</f>
        <v>29372953.21875</v>
      </c>
      <c r="H68" s="212">
        <f t="shared" ref="H68:AE68" si="57">-H41</f>
        <v>29372953.21875</v>
      </c>
      <c r="I68" s="212">
        <f t="shared" si="57"/>
        <v>29372953.21875</v>
      </c>
      <c r="J68" s="212">
        <f t="shared" si="57"/>
        <v>29372953.21875</v>
      </c>
      <c r="K68" s="212">
        <f t="shared" si="57"/>
        <v>29372953.21875</v>
      </c>
      <c r="L68" s="212">
        <f t="shared" si="57"/>
        <v>29372953.21875</v>
      </c>
      <c r="M68" s="212">
        <f t="shared" si="57"/>
        <v>29372953.21875</v>
      </c>
      <c r="N68" s="212">
        <f t="shared" si="57"/>
        <v>29372953.21875</v>
      </c>
      <c r="O68" s="212">
        <f t="shared" si="57"/>
        <v>29372953.21875</v>
      </c>
      <c r="P68" s="212">
        <f t="shared" si="57"/>
        <v>29372953.21875</v>
      </c>
      <c r="Q68" s="212">
        <f t="shared" si="57"/>
        <v>29372953.21875</v>
      </c>
      <c r="R68" s="212">
        <f t="shared" si="57"/>
        <v>29372953.21875</v>
      </c>
      <c r="S68" s="212">
        <f t="shared" si="57"/>
        <v>29372953.21875</v>
      </c>
      <c r="T68" s="212">
        <f t="shared" si="57"/>
        <v>29372953.21875</v>
      </c>
      <c r="U68" s="212">
        <f t="shared" si="57"/>
        <v>29372953.21875</v>
      </c>
      <c r="V68" s="212">
        <f t="shared" si="57"/>
        <v>29372953.21875</v>
      </c>
      <c r="W68" s="212">
        <f t="shared" si="57"/>
        <v>29372953.21875</v>
      </c>
      <c r="X68" s="212">
        <f t="shared" si="57"/>
        <v>29372953.21875</v>
      </c>
      <c r="Y68" s="212">
        <f t="shared" si="57"/>
        <v>29372953.21875</v>
      </c>
      <c r="Z68" s="212">
        <f t="shared" si="57"/>
        <v>29372953.21875</v>
      </c>
      <c r="AA68" s="212">
        <f t="shared" si="57"/>
        <v>0</v>
      </c>
      <c r="AB68" s="212">
        <f t="shared" si="57"/>
        <v>0</v>
      </c>
      <c r="AC68" s="212">
        <f t="shared" si="57"/>
        <v>0</v>
      </c>
      <c r="AD68" s="212">
        <f t="shared" si="57"/>
        <v>0</v>
      </c>
      <c r="AE68" s="212">
        <f t="shared" si="57"/>
        <v>0</v>
      </c>
    </row>
    <row r="69" s="174" customFormat="1" ht="15" customHeight="1" spans="1:31">
      <c r="A69" s="290" t="s">
        <v>156</v>
      </c>
      <c r="B69" s="187"/>
      <c r="C69" s="187"/>
      <c r="D69" s="212">
        <f t="shared" si="54"/>
        <v>-687086625</v>
      </c>
      <c r="E69" s="187"/>
      <c r="F69" s="212">
        <f>-Assump!B38</f>
        <v>-687086625</v>
      </c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</row>
    <row r="70" s="168" customFormat="1" ht="15" customHeight="1" spans="1:31">
      <c r="A70" s="228" t="s">
        <v>152</v>
      </c>
      <c r="B70" s="229"/>
      <c r="C70" s="230"/>
      <c r="D70" s="231">
        <f t="shared" si="54"/>
        <v>684281765.49172</v>
      </c>
      <c r="E70" s="230"/>
      <c r="F70" s="231">
        <f>SUM(F65:F69)</f>
        <v>-687086625</v>
      </c>
      <c r="G70" s="231">
        <f t="shared" ref="G70:AE70" si="58">SUM(G65:G69)</f>
        <v>101242400</v>
      </c>
      <c r="H70" s="231">
        <f t="shared" si="58"/>
        <v>98264784.3459834</v>
      </c>
      <c r="I70" s="231">
        <f t="shared" si="58"/>
        <v>97195806.4352705</v>
      </c>
      <c r="J70" s="231">
        <f t="shared" si="58"/>
        <v>89695525.4965472</v>
      </c>
      <c r="K70" s="231">
        <f t="shared" si="58"/>
        <v>78965641.2163501</v>
      </c>
      <c r="L70" s="231">
        <f t="shared" si="58"/>
        <v>71318169.437562</v>
      </c>
      <c r="M70" s="231">
        <f t="shared" si="58"/>
        <v>64598953.460072</v>
      </c>
      <c r="N70" s="231">
        <f t="shared" si="58"/>
        <v>63864927.6201085</v>
      </c>
      <c r="O70" s="231">
        <f t="shared" si="58"/>
        <v>63123673.7462814</v>
      </c>
      <c r="P70" s="231">
        <f t="shared" si="58"/>
        <v>62374938.8578406</v>
      </c>
      <c r="Q70" s="231">
        <f t="shared" si="58"/>
        <v>61618461.1197104</v>
      </c>
      <c r="R70" s="231">
        <f t="shared" si="58"/>
        <v>60853969.5325869</v>
      </c>
      <c r="S70" s="231">
        <f t="shared" si="58"/>
        <v>60081183.6121913</v>
      </c>
      <c r="T70" s="231">
        <f t="shared" si="58"/>
        <v>59299813.0572947</v>
      </c>
      <c r="U70" s="231">
        <f t="shared" si="58"/>
        <v>58509557.4061256</v>
      </c>
      <c r="V70" s="231">
        <f t="shared" si="58"/>
        <v>57710105.6807505</v>
      </c>
      <c r="W70" s="231">
        <f t="shared" si="58"/>
        <v>56901136.0190085</v>
      </c>
      <c r="X70" s="231">
        <f t="shared" si="58"/>
        <v>56082315.2935631</v>
      </c>
      <c r="Y70" s="231">
        <f t="shared" si="58"/>
        <v>55253298.7176211</v>
      </c>
      <c r="Z70" s="231">
        <f t="shared" si="58"/>
        <v>54413729.4368517</v>
      </c>
      <c r="AA70" s="231">
        <f t="shared" si="58"/>
        <v>-13821278.3732602</v>
      </c>
      <c r="AB70" s="231">
        <f t="shared" si="58"/>
        <v>-14267047.0675707</v>
      </c>
      <c r="AC70" s="231">
        <f t="shared" si="58"/>
        <v>-14728415.7233674</v>
      </c>
      <c r="AD70" s="231">
        <f t="shared" si="58"/>
        <v>-15205930.3387195</v>
      </c>
      <c r="AE70" s="231">
        <f t="shared" si="58"/>
        <v>-15700156.0216285</v>
      </c>
    </row>
    <row r="71" s="175" customFormat="1" ht="15" customHeight="1" spans="1:31">
      <c r="A71" s="291" t="s">
        <v>157</v>
      </c>
      <c r="B71" s="292"/>
      <c r="C71" s="293"/>
      <c r="D71" s="294"/>
      <c r="E71" s="293"/>
      <c r="F71" s="294">
        <f>F70</f>
        <v>-687086625</v>
      </c>
      <c r="G71" s="294">
        <f>F71+G70</f>
        <v>-585844225</v>
      </c>
      <c r="H71" s="294">
        <f>G71+H70</f>
        <v>-487579440.654017</v>
      </c>
      <c r="I71" s="294">
        <f t="shared" ref="I71:AE71" si="59">H71+I70</f>
        <v>-390383634.218746</v>
      </c>
      <c r="J71" s="294">
        <f t="shared" si="59"/>
        <v>-300688108.722199</v>
      </c>
      <c r="K71" s="294">
        <f t="shared" si="59"/>
        <v>-221722467.505849</v>
      </c>
      <c r="L71" s="294">
        <f t="shared" si="59"/>
        <v>-150404298.068287</v>
      </c>
      <c r="M71" s="294">
        <f t="shared" si="59"/>
        <v>-85805344.6082146</v>
      </c>
      <c r="N71" s="294">
        <f t="shared" si="59"/>
        <v>-21940416.9881061</v>
      </c>
      <c r="O71" s="294">
        <f t="shared" si="59"/>
        <v>41183256.7581752</v>
      </c>
      <c r="P71" s="294">
        <f t="shared" si="59"/>
        <v>103558195.616016</v>
      </c>
      <c r="Q71" s="294">
        <f t="shared" si="59"/>
        <v>165176656.735726</v>
      </c>
      <c r="R71" s="294">
        <f t="shared" si="59"/>
        <v>226030626.268313</v>
      </c>
      <c r="S71" s="294">
        <f t="shared" si="59"/>
        <v>286111809.880504</v>
      </c>
      <c r="T71" s="294">
        <f t="shared" si="59"/>
        <v>345411622.937799</v>
      </c>
      <c r="U71" s="294">
        <f t="shared" si="59"/>
        <v>403921180.343925</v>
      </c>
      <c r="V71" s="294">
        <f t="shared" si="59"/>
        <v>461631286.024675</v>
      </c>
      <c r="W71" s="294">
        <f t="shared" si="59"/>
        <v>518532422.043684</v>
      </c>
      <c r="X71" s="294">
        <f t="shared" si="59"/>
        <v>574614737.337247</v>
      </c>
      <c r="Y71" s="294">
        <f t="shared" si="59"/>
        <v>629868036.054868</v>
      </c>
      <c r="Z71" s="294">
        <f t="shared" si="59"/>
        <v>684281765.49172</v>
      </c>
      <c r="AA71" s="294">
        <f t="shared" si="59"/>
        <v>670460487.118459</v>
      </c>
      <c r="AB71" s="294">
        <f t="shared" si="59"/>
        <v>656193440.050889</v>
      </c>
      <c r="AC71" s="294">
        <f t="shared" si="59"/>
        <v>641465024.327521</v>
      </c>
      <c r="AD71" s="294">
        <f t="shared" si="59"/>
        <v>626259093.988802</v>
      </c>
      <c r="AE71" s="294">
        <f t="shared" si="59"/>
        <v>610558937.967173</v>
      </c>
    </row>
    <row r="72" s="174" customFormat="1" ht="15" customHeight="1" spans="1:31">
      <c r="A72" s="295" t="s">
        <v>158</v>
      </c>
      <c r="B72" s="275"/>
      <c r="C72" s="296"/>
      <c r="D72" s="297">
        <f>IRR(F70:Z70)</f>
        <v>0.090639233114495</v>
      </c>
      <c r="E72" s="276"/>
      <c r="F72" s="298"/>
      <c r="G72" s="285">
        <f>G70/((1+$D$72)^(COLUMN()-6))</f>
        <v>92828496.2855097</v>
      </c>
      <c r="H72" s="285">
        <f t="shared" ref="H72:Z72" si="60">H70/((1+$D$72)^(COLUMN()-6))</f>
        <v>82610580.2688065</v>
      </c>
      <c r="I72" s="285">
        <f t="shared" si="60"/>
        <v>74921105.7568404</v>
      </c>
      <c r="J72" s="285">
        <f t="shared" si="60"/>
        <v>63393731.0910471</v>
      </c>
      <c r="K72" s="285">
        <f t="shared" si="60"/>
        <v>51172022.7907946</v>
      </c>
      <c r="L72" s="285">
        <f t="shared" si="60"/>
        <v>42375368.6477945</v>
      </c>
      <c r="M72" s="285">
        <f t="shared" si="60"/>
        <v>35193111.7010521</v>
      </c>
      <c r="N72" s="285">
        <f t="shared" si="60"/>
        <v>31901675.5413412</v>
      </c>
      <c r="O72" s="285">
        <f t="shared" si="60"/>
        <v>28910940.4776509</v>
      </c>
      <c r="P72" s="285">
        <f t="shared" si="60"/>
        <v>26193827.892687</v>
      </c>
      <c r="Q72" s="285">
        <f t="shared" si="60"/>
        <v>23725674.52239</v>
      </c>
      <c r="R72" s="285">
        <f t="shared" si="60"/>
        <v>21484018.4559795</v>
      </c>
      <c r="S72" s="285">
        <f t="shared" si="60"/>
        <v>19448404.0010538</v>
      </c>
      <c r="T72" s="285">
        <f t="shared" si="60"/>
        <v>17600203.7573028</v>
      </c>
      <c r="U72" s="285">
        <f t="shared" si="60"/>
        <v>15922456.3873604</v>
      </c>
      <c r="V72" s="285">
        <f t="shared" si="60"/>
        <v>14399718.7056405</v>
      </c>
      <c r="W72" s="285">
        <f t="shared" si="60"/>
        <v>13017930.8267645</v>
      </c>
      <c r="X72" s="285">
        <f t="shared" si="60"/>
        <v>11764293.2254121</v>
      </c>
      <c r="Y72" s="285">
        <f t="shared" si="60"/>
        <v>10627154.6600186</v>
      </c>
      <c r="Z72" s="285">
        <f t="shared" si="60"/>
        <v>9595910.00455387</v>
      </c>
      <c r="AA72" s="305"/>
      <c r="AB72" s="305"/>
      <c r="AC72" s="305"/>
      <c r="AD72" s="305"/>
      <c r="AE72" s="305"/>
    </row>
    <row r="73" s="174" customFormat="1" ht="15" customHeight="1" spans="1:31">
      <c r="A73" s="295" t="s">
        <v>159</v>
      </c>
      <c r="B73" s="299"/>
      <c r="C73" s="276"/>
      <c r="D73" s="300">
        <f>COUNTIF(G71:Z71,"&lt;0")-INDEX(F71:Z71,COUNTIF(F71:Z71,"&lt;0"))/INDEX(F70:Z70,COUNTIF(F71:Z71,"&lt;0")+1)-1</f>
        <v>7.34757826479322</v>
      </c>
      <c r="E73" s="276"/>
      <c r="F73" s="285">
        <f>SUM(G73:Z73)</f>
        <v>687086625</v>
      </c>
      <c r="G73" s="301">
        <f>G70/((1+$D$72)^(COLUMN()-6))</f>
        <v>92828496.2855097</v>
      </c>
      <c r="H73" s="301">
        <f>H70/((1+$D$72)^(COLUMN()-6))</f>
        <v>82610580.2688065</v>
      </c>
      <c r="I73" s="301">
        <f t="shared" ref="I73:Z73" si="61">I70/((1+$D$72)^(COLUMN()-6))</f>
        <v>74921105.7568404</v>
      </c>
      <c r="J73" s="301">
        <f t="shared" si="61"/>
        <v>63393731.0910471</v>
      </c>
      <c r="K73" s="301">
        <f t="shared" si="61"/>
        <v>51172022.7907946</v>
      </c>
      <c r="L73" s="301">
        <f t="shared" si="61"/>
        <v>42375368.6477945</v>
      </c>
      <c r="M73" s="301">
        <f t="shared" si="61"/>
        <v>35193111.7010521</v>
      </c>
      <c r="N73" s="301">
        <f t="shared" si="61"/>
        <v>31901675.5413412</v>
      </c>
      <c r="O73" s="301">
        <f t="shared" si="61"/>
        <v>28910940.4776509</v>
      </c>
      <c r="P73" s="301">
        <f t="shared" si="61"/>
        <v>26193827.892687</v>
      </c>
      <c r="Q73" s="301">
        <f t="shared" si="61"/>
        <v>23725674.52239</v>
      </c>
      <c r="R73" s="301">
        <f t="shared" si="61"/>
        <v>21484018.4559795</v>
      </c>
      <c r="S73" s="301">
        <f t="shared" si="61"/>
        <v>19448404.0010538</v>
      </c>
      <c r="T73" s="301">
        <f t="shared" si="61"/>
        <v>17600203.7573028</v>
      </c>
      <c r="U73" s="301">
        <f t="shared" si="61"/>
        <v>15922456.3873604</v>
      </c>
      <c r="V73" s="301">
        <f t="shared" si="61"/>
        <v>14399718.7056405</v>
      </c>
      <c r="W73" s="301">
        <f t="shared" si="61"/>
        <v>13017930.8267645</v>
      </c>
      <c r="X73" s="301">
        <f t="shared" si="61"/>
        <v>11764293.2254121</v>
      </c>
      <c r="Y73" s="301">
        <f t="shared" si="61"/>
        <v>10627154.6600186</v>
      </c>
      <c r="Z73" s="301">
        <f t="shared" si="61"/>
        <v>9595910.00455387</v>
      </c>
      <c r="AA73" s="285">
        <f t="shared" ref="AA73:AE73" si="62">AA70/((1+7.32509%)^(COLUMN()-6))</f>
        <v>-3131999.80264433</v>
      </c>
      <c r="AB73" s="285">
        <f t="shared" si="62"/>
        <v>-3012356.34042406</v>
      </c>
      <c r="AC73" s="285">
        <f t="shared" si="62"/>
        <v>-2897523.87554096</v>
      </c>
      <c r="AD73" s="285">
        <f t="shared" si="62"/>
        <v>-2787293.64377411</v>
      </c>
      <c r="AE73" s="285">
        <f t="shared" si="62"/>
        <v>-2681466.86526388</v>
      </c>
    </row>
    <row r="74" s="174" customFormat="1" ht="15" customHeight="1" spans="1:31">
      <c r="A74" s="302"/>
      <c r="B74" s="303"/>
      <c r="C74" s="276"/>
      <c r="D74" s="285">
        <f>SUM(F74:Z74)</f>
        <v>-73657733.1028041</v>
      </c>
      <c r="E74" s="276"/>
      <c r="F74" s="298">
        <f>F71</f>
        <v>-687086625</v>
      </c>
      <c r="G74" s="285">
        <f>G70/((1+11%)^(COLUMN()-6))</f>
        <v>91209369.3693694</v>
      </c>
      <c r="H74" s="285">
        <f t="shared" ref="H74:Z74" si="63">H70/((1+11%)^(COLUMN()-6))</f>
        <v>79753903.3730893</v>
      </c>
      <c r="I74" s="285">
        <f t="shared" si="63"/>
        <v>71068735.9640652</v>
      </c>
      <c r="J74" s="285">
        <f t="shared" si="63"/>
        <v>59085220.8867882</v>
      </c>
      <c r="K74" s="285">
        <f t="shared" si="63"/>
        <v>46862264.6508386</v>
      </c>
      <c r="L74" s="285">
        <f t="shared" si="63"/>
        <v>38129605.7364203</v>
      </c>
      <c r="M74" s="285">
        <f t="shared" si="63"/>
        <v>31114629.2687872</v>
      </c>
      <c r="N74" s="285">
        <f t="shared" si="63"/>
        <v>27712684.2785204</v>
      </c>
      <c r="O74" s="285">
        <f t="shared" si="63"/>
        <v>24676607.7316966</v>
      </c>
      <c r="P74" s="285">
        <f t="shared" si="63"/>
        <v>21967485.3302379</v>
      </c>
      <c r="Q74" s="285">
        <f t="shared" si="63"/>
        <v>19550509.5606576</v>
      </c>
      <c r="R74" s="285">
        <f t="shared" si="63"/>
        <v>17394548.771359</v>
      </c>
      <c r="S74" s="285">
        <f t="shared" si="63"/>
        <v>15471761.2679243</v>
      </c>
      <c r="T74" s="285">
        <f t="shared" si="63"/>
        <v>13757249.7398238</v>
      </c>
      <c r="U74" s="285">
        <f t="shared" si="63"/>
        <v>12228751.8184666</v>
      </c>
      <c r="V74" s="285">
        <f t="shared" si="63"/>
        <v>10866363.0026361</v>
      </c>
      <c r="W74" s="285">
        <f t="shared" si="63"/>
        <v>9652288.57829217</v>
      </c>
      <c r="X74" s="285">
        <f t="shared" si="63"/>
        <v>8570621.51016489</v>
      </c>
      <c r="Y74" s="285">
        <f t="shared" si="63"/>
        <v>7607143.59668684</v>
      </c>
      <c r="Z74" s="285">
        <f t="shared" si="63"/>
        <v>6749147.46137143</v>
      </c>
      <c r="AA74" s="305"/>
      <c r="AB74" s="305"/>
      <c r="AC74" s="305"/>
      <c r="AD74" s="305"/>
      <c r="AE74" s="305"/>
    </row>
    <row r="75" s="174" customFormat="1" ht="15" customHeight="1" spans="1:31">
      <c r="A75" s="274" t="s">
        <v>160</v>
      </c>
      <c r="B75" s="275"/>
      <c r="C75" s="276"/>
      <c r="D75" s="277"/>
      <c r="E75" s="276"/>
      <c r="F75" s="278">
        <v>0</v>
      </c>
      <c r="G75" s="278">
        <v>1</v>
      </c>
      <c r="H75" s="278">
        <v>2</v>
      </c>
      <c r="I75" s="278">
        <v>3</v>
      </c>
      <c r="J75" s="278">
        <v>4</v>
      </c>
      <c r="K75" s="278">
        <v>5</v>
      </c>
      <c r="L75" s="278">
        <v>6</v>
      </c>
      <c r="M75" s="278">
        <v>7</v>
      </c>
      <c r="N75" s="278">
        <v>8</v>
      </c>
      <c r="O75" s="278">
        <v>9</v>
      </c>
      <c r="P75" s="278">
        <v>10</v>
      </c>
      <c r="Q75" s="278">
        <v>11</v>
      </c>
      <c r="R75" s="278">
        <v>12</v>
      </c>
      <c r="S75" s="278">
        <v>13</v>
      </c>
      <c r="T75" s="278">
        <v>14</v>
      </c>
      <c r="U75" s="278">
        <v>15</v>
      </c>
      <c r="V75" s="278">
        <v>16</v>
      </c>
      <c r="W75" s="278">
        <v>17</v>
      </c>
      <c r="X75" s="278">
        <v>18</v>
      </c>
      <c r="Y75" s="278">
        <v>19</v>
      </c>
      <c r="Z75" s="278">
        <v>20</v>
      </c>
      <c r="AA75" s="277">
        <f t="shared" ref="AA75:AE75" si="64">AA64</f>
        <v>385</v>
      </c>
      <c r="AB75" s="277">
        <f t="shared" si="64"/>
        <v>750</v>
      </c>
      <c r="AC75" s="277">
        <f t="shared" si="64"/>
        <v>1116</v>
      </c>
      <c r="AD75" s="277">
        <f t="shared" si="64"/>
        <v>1481</v>
      </c>
      <c r="AE75" s="277">
        <f t="shared" si="64"/>
        <v>1846</v>
      </c>
    </row>
    <row r="76" s="174" customFormat="1" ht="15" customHeight="1" spans="1:31">
      <c r="A76" s="286" t="s">
        <v>153</v>
      </c>
      <c r="B76" s="187"/>
      <c r="C76" s="187"/>
      <c r="D76" s="212">
        <f t="shared" ref="D76:D82" si="65">SUM(F76:Z76)</f>
        <v>874961397.864658</v>
      </c>
      <c r="E76" s="187"/>
      <c r="F76" s="212"/>
      <c r="G76" s="212">
        <f t="shared" ref="G76:AE76" si="66">G43</f>
        <v>55865850.2000534</v>
      </c>
      <c r="H76" s="212">
        <f t="shared" si="66"/>
        <v>53288324.4605667</v>
      </c>
      <c r="I76" s="212">
        <f t="shared" si="66"/>
        <v>52340973.883871</v>
      </c>
      <c r="J76" s="212">
        <f t="shared" si="66"/>
        <v>51385508.890474</v>
      </c>
      <c r="K76" s="212">
        <f t="shared" si="66"/>
        <v>49523725.8019948</v>
      </c>
      <c r="L76" s="212">
        <f t="shared" si="66"/>
        <v>47937389.9643566</v>
      </c>
      <c r="M76" s="212">
        <f t="shared" si="66"/>
        <v>46968000.3217627</v>
      </c>
      <c r="N76" s="212">
        <f t="shared" si="66"/>
        <v>45989299.2018114</v>
      </c>
      <c r="O76" s="212">
        <f t="shared" si="66"/>
        <v>45000960.7033751</v>
      </c>
      <c r="P76" s="212">
        <f t="shared" si="66"/>
        <v>44002647.5187875</v>
      </c>
      <c r="Q76" s="212">
        <f t="shared" si="66"/>
        <v>42994010.5346138</v>
      </c>
      <c r="R76" s="212">
        <f t="shared" si="66"/>
        <v>41974688.4184492</v>
      </c>
      <c r="S76" s="212">
        <f t="shared" si="66"/>
        <v>40944307.191255</v>
      </c>
      <c r="T76" s="212">
        <f t="shared" si="66"/>
        <v>39902479.7847262</v>
      </c>
      <c r="U76" s="212">
        <f t="shared" si="66"/>
        <v>38848805.5831674</v>
      </c>
      <c r="V76" s="212">
        <f t="shared" si="66"/>
        <v>37782869.949334</v>
      </c>
      <c r="W76" s="212">
        <f t="shared" si="66"/>
        <v>36704243.733678</v>
      </c>
      <c r="X76" s="212">
        <f t="shared" si="66"/>
        <v>35612482.7664175</v>
      </c>
      <c r="Y76" s="212">
        <f t="shared" si="66"/>
        <v>34507127.3318281</v>
      </c>
      <c r="Z76" s="212">
        <f t="shared" si="66"/>
        <v>33387701.6241356</v>
      </c>
      <c r="AA76" s="212">
        <f t="shared" si="66"/>
        <v>-13821278.3732602</v>
      </c>
      <c r="AB76" s="212">
        <f t="shared" si="66"/>
        <v>-14267047.0675707</v>
      </c>
      <c r="AC76" s="212">
        <f t="shared" si="66"/>
        <v>-14728415.7233674</v>
      </c>
      <c r="AD76" s="212">
        <f t="shared" si="66"/>
        <v>-15205930.3387195</v>
      </c>
      <c r="AE76" s="212">
        <f t="shared" si="66"/>
        <v>-15700156.0216285</v>
      </c>
    </row>
    <row r="77" s="174" customFormat="1" ht="15" customHeight="1" spans="1:31">
      <c r="A77" s="287" t="s">
        <v>114</v>
      </c>
      <c r="B77" s="187"/>
      <c r="C77" s="187"/>
      <c r="D77" s="212">
        <f t="shared" si="65"/>
        <v>68708662.5</v>
      </c>
      <c r="E77" s="187"/>
      <c r="F77" s="212">
        <f>-F27</f>
        <v>0</v>
      </c>
      <c r="G77" s="212">
        <f>G66</f>
        <v>16003596.5811966</v>
      </c>
      <c r="H77" s="212">
        <f t="shared" ref="H77:Z77" si="67">H66</f>
        <v>15603506.6666667</v>
      </c>
      <c r="I77" s="212">
        <f t="shared" si="67"/>
        <v>15481879.3326496</v>
      </c>
      <c r="J77" s="212">
        <f t="shared" si="67"/>
        <v>15360251.9986325</v>
      </c>
      <c r="K77" s="212">
        <f t="shared" si="67"/>
        <v>6259427.9208547</v>
      </c>
      <c r="L77" s="212">
        <f t="shared" si="67"/>
        <v>0</v>
      </c>
      <c r="M77" s="212">
        <f t="shared" si="67"/>
        <v>0</v>
      </c>
      <c r="N77" s="212">
        <f t="shared" si="67"/>
        <v>0</v>
      </c>
      <c r="O77" s="212">
        <f t="shared" si="67"/>
        <v>0</v>
      </c>
      <c r="P77" s="212">
        <f t="shared" si="67"/>
        <v>0</v>
      </c>
      <c r="Q77" s="212">
        <f t="shared" si="67"/>
        <v>0</v>
      </c>
      <c r="R77" s="212">
        <f t="shared" si="67"/>
        <v>0</v>
      </c>
      <c r="S77" s="212">
        <f t="shared" si="67"/>
        <v>0</v>
      </c>
      <c r="T77" s="212">
        <f t="shared" si="67"/>
        <v>0</v>
      </c>
      <c r="U77" s="212">
        <f t="shared" si="67"/>
        <v>0</v>
      </c>
      <c r="V77" s="212">
        <f t="shared" si="67"/>
        <v>0</v>
      </c>
      <c r="W77" s="212">
        <f t="shared" si="67"/>
        <v>0</v>
      </c>
      <c r="X77" s="212">
        <f t="shared" si="67"/>
        <v>0</v>
      </c>
      <c r="Y77" s="212">
        <f t="shared" si="67"/>
        <v>0</v>
      </c>
      <c r="Z77" s="212">
        <f t="shared" si="67"/>
        <v>0</v>
      </c>
      <c r="AA77" s="212">
        <f t="shared" ref="AA77:AE77" si="68">-AA27</f>
        <v>0</v>
      </c>
      <c r="AB77" s="212">
        <f t="shared" si="68"/>
        <v>0</v>
      </c>
      <c r="AC77" s="212">
        <f t="shared" si="68"/>
        <v>0</v>
      </c>
      <c r="AD77" s="212">
        <f t="shared" si="68"/>
        <v>0</v>
      </c>
      <c r="AE77" s="212">
        <f t="shared" si="68"/>
        <v>0</v>
      </c>
    </row>
    <row r="78" s="174" customFormat="1" ht="15" customHeight="1" spans="1:31">
      <c r="A78" s="286" t="s">
        <v>161</v>
      </c>
      <c r="B78" s="288"/>
      <c r="C78" s="187"/>
      <c r="D78" s="212">
        <f t="shared" si="65"/>
        <v>-286311896.921634</v>
      </c>
      <c r="E78" s="187"/>
      <c r="F78" s="212">
        <f>F45</f>
        <v>0</v>
      </c>
      <c r="G78" s="212">
        <f>G45</f>
        <v>-31262441.4375</v>
      </c>
      <c r="H78" s="212">
        <f t="shared" ref="H78:AE78" si="69">H45</f>
        <v>-29969652.4817771</v>
      </c>
      <c r="I78" s="212">
        <f t="shared" si="69"/>
        <v>-28592832.2439322</v>
      </c>
      <c r="J78" s="212">
        <f t="shared" si="69"/>
        <v>-27126518.6906274</v>
      </c>
      <c r="K78" s="212">
        <f t="shared" si="69"/>
        <v>-25564894.7563577</v>
      </c>
      <c r="L78" s="212">
        <f t="shared" si="69"/>
        <v>-23901765.2663606</v>
      </c>
      <c r="M78" s="212">
        <f t="shared" si="69"/>
        <v>-22130532.3595136</v>
      </c>
      <c r="N78" s="212">
        <f t="shared" si="69"/>
        <v>-20244169.3137216</v>
      </c>
      <c r="O78" s="212">
        <f t="shared" si="69"/>
        <v>-18235192.669953</v>
      </c>
      <c r="P78" s="212">
        <f t="shared" si="69"/>
        <v>-16095632.5443396</v>
      </c>
      <c r="Q78" s="212">
        <f t="shared" si="69"/>
        <v>-13817001.0105612</v>
      </c>
      <c r="R78" s="212">
        <f t="shared" si="69"/>
        <v>-11390258.4270873</v>
      </c>
      <c r="S78" s="212">
        <f t="shared" si="69"/>
        <v>-8805777.57568756</v>
      </c>
      <c r="T78" s="212">
        <f t="shared" si="69"/>
        <v>-6053305.46894683</v>
      </c>
      <c r="U78" s="212">
        <f t="shared" si="69"/>
        <v>-3121922.67526797</v>
      </c>
      <c r="V78" s="212">
        <f t="shared" si="69"/>
        <v>2.9541552066803e-8</v>
      </c>
      <c r="W78" s="212">
        <f t="shared" si="69"/>
        <v>2.9541552066803e-8</v>
      </c>
      <c r="X78" s="212">
        <f t="shared" si="69"/>
        <v>2.9541552066803e-8</v>
      </c>
      <c r="Y78" s="212">
        <f t="shared" si="69"/>
        <v>2.9541552066803e-8</v>
      </c>
      <c r="Z78" s="212">
        <f t="shared" si="69"/>
        <v>2.9541552066803e-8</v>
      </c>
      <c r="AA78" s="212">
        <f t="shared" si="69"/>
        <v>2.9541552066803e-8</v>
      </c>
      <c r="AB78" s="212">
        <f t="shared" si="69"/>
        <v>2.9541552066803e-8</v>
      </c>
      <c r="AC78" s="212">
        <f t="shared" si="69"/>
        <v>2.9541552066803e-8</v>
      </c>
      <c r="AD78" s="212">
        <f t="shared" si="69"/>
        <v>2.9541552066803e-8</v>
      </c>
      <c r="AE78" s="212">
        <f t="shared" si="69"/>
        <v>2.9541552066803e-8</v>
      </c>
    </row>
    <row r="79" s="174" customFormat="1" ht="15" customHeight="1" spans="1:31">
      <c r="A79" s="286" t="s">
        <v>162</v>
      </c>
      <c r="B79" s="288">
        <f>B67</f>
        <v>0.25</v>
      </c>
      <c r="C79" s="187"/>
      <c r="D79" s="289">
        <f t="shared" si="65"/>
        <v>-120213138.897501</v>
      </c>
      <c r="E79" s="187"/>
      <c r="F79" s="212"/>
      <c r="G79" s="253">
        <f>G49</f>
        <v>0</v>
      </c>
      <c r="H79" s="253">
        <f t="shared" ref="H79:AE79" si="70">H49</f>
        <v>0</v>
      </c>
      <c r="I79" s="253">
        <f t="shared" si="70"/>
        <v>0</v>
      </c>
      <c r="J79" s="282">
        <f t="shared" si="70"/>
        <v>-3032373.77498083</v>
      </c>
      <c r="K79" s="282">
        <f t="shared" si="70"/>
        <v>-2994853.88070463</v>
      </c>
      <c r="L79" s="282">
        <f t="shared" si="70"/>
        <v>-3004453.0872495</v>
      </c>
      <c r="M79" s="212">
        <f t="shared" si="70"/>
        <v>-6209366.99056229</v>
      </c>
      <c r="N79" s="212">
        <f t="shared" si="70"/>
        <v>-6436282.47202245</v>
      </c>
      <c r="O79" s="212">
        <f t="shared" si="70"/>
        <v>-6691442.00835553</v>
      </c>
      <c r="P79" s="212">
        <f t="shared" si="70"/>
        <v>-6976753.74361199</v>
      </c>
      <c r="Q79" s="212">
        <f t="shared" si="70"/>
        <v>-7294252.38101315</v>
      </c>
      <c r="R79" s="212">
        <f t="shared" si="70"/>
        <v>-7646107.49784049</v>
      </c>
      <c r="S79" s="212">
        <f t="shared" si="70"/>
        <v>-8034632.40389187</v>
      </c>
      <c r="T79" s="212">
        <f t="shared" si="70"/>
        <v>-8462293.57894485</v>
      </c>
      <c r="U79" s="212">
        <f t="shared" si="70"/>
        <v>-8931720.72697487</v>
      </c>
      <c r="V79" s="212">
        <f t="shared" si="70"/>
        <v>-9445717.48733352</v>
      </c>
      <c r="W79" s="212">
        <f t="shared" si="70"/>
        <v>-9176060.93341952</v>
      </c>
      <c r="X79" s="212">
        <f t="shared" si="70"/>
        <v>-8903120.69160437</v>
      </c>
      <c r="Y79" s="212">
        <f t="shared" si="70"/>
        <v>-8626781.83295703</v>
      </c>
      <c r="Z79" s="212">
        <f t="shared" si="70"/>
        <v>-8346925.4060339</v>
      </c>
      <c r="AA79" s="212">
        <f t="shared" si="70"/>
        <v>0</v>
      </c>
      <c r="AB79" s="212">
        <f t="shared" si="70"/>
        <v>0</v>
      </c>
      <c r="AC79" s="212">
        <f t="shared" si="70"/>
        <v>0</v>
      </c>
      <c r="AD79" s="212">
        <f t="shared" si="70"/>
        <v>0</v>
      </c>
      <c r="AE79" s="212">
        <f t="shared" si="70"/>
        <v>0</v>
      </c>
    </row>
    <row r="80" s="174" customFormat="1" ht="15" customHeight="1" spans="1:31">
      <c r="A80" s="286" t="s">
        <v>155</v>
      </c>
      <c r="B80" s="288"/>
      <c r="C80" s="187"/>
      <c r="D80" s="212">
        <f t="shared" si="65"/>
        <v>587459064.375</v>
      </c>
      <c r="E80" s="187"/>
      <c r="F80" s="212"/>
      <c r="G80" s="212">
        <f>-G41</f>
        <v>29372953.21875</v>
      </c>
      <c r="H80" s="212">
        <f>-H41</f>
        <v>29372953.21875</v>
      </c>
      <c r="I80" s="212">
        <f t="shared" ref="I80:AE80" si="71">-I41</f>
        <v>29372953.21875</v>
      </c>
      <c r="J80" s="212">
        <f t="shared" si="71"/>
        <v>29372953.21875</v>
      </c>
      <c r="K80" s="212">
        <f t="shared" si="71"/>
        <v>29372953.21875</v>
      </c>
      <c r="L80" s="212">
        <f t="shared" si="71"/>
        <v>29372953.21875</v>
      </c>
      <c r="M80" s="212">
        <f t="shared" si="71"/>
        <v>29372953.21875</v>
      </c>
      <c r="N80" s="212">
        <f t="shared" si="71"/>
        <v>29372953.21875</v>
      </c>
      <c r="O80" s="212">
        <f t="shared" si="71"/>
        <v>29372953.21875</v>
      </c>
      <c r="P80" s="212">
        <f t="shared" si="71"/>
        <v>29372953.21875</v>
      </c>
      <c r="Q80" s="212">
        <f t="shared" si="71"/>
        <v>29372953.21875</v>
      </c>
      <c r="R80" s="212">
        <f t="shared" si="71"/>
        <v>29372953.21875</v>
      </c>
      <c r="S80" s="212">
        <f t="shared" si="71"/>
        <v>29372953.21875</v>
      </c>
      <c r="T80" s="212">
        <f t="shared" si="71"/>
        <v>29372953.21875</v>
      </c>
      <c r="U80" s="212">
        <f t="shared" si="71"/>
        <v>29372953.21875</v>
      </c>
      <c r="V80" s="212">
        <f t="shared" si="71"/>
        <v>29372953.21875</v>
      </c>
      <c r="W80" s="212">
        <f t="shared" si="71"/>
        <v>29372953.21875</v>
      </c>
      <c r="X80" s="212">
        <f t="shared" si="71"/>
        <v>29372953.21875</v>
      </c>
      <c r="Y80" s="212">
        <f t="shared" si="71"/>
        <v>29372953.21875</v>
      </c>
      <c r="Z80" s="212">
        <f t="shared" si="71"/>
        <v>29372953.21875</v>
      </c>
      <c r="AA80" s="212">
        <f t="shared" si="71"/>
        <v>0</v>
      </c>
      <c r="AB80" s="212">
        <f t="shared" si="71"/>
        <v>0</v>
      </c>
      <c r="AC80" s="212">
        <f t="shared" si="71"/>
        <v>0</v>
      </c>
      <c r="AD80" s="212">
        <f t="shared" si="71"/>
        <v>0</v>
      </c>
      <c r="AE80" s="212">
        <f t="shared" si="71"/>
        <v>0</v>
      </c>
    </row>
    <row r="81" s="174" customFormat="1" ht="15" customHeight="1" spans="1:31">
      <c r="A81" s="290" t="s">
        <v>156</v>
      </c>
      <c r="B81" s="187"/>
      <c r="C81" s="187"/>
      <c r="D81" s="212">
        <f t="shared" si="65"/>
        <v>-687086625</v>
      </c>
      <c r="E81" s="187"/>
      <c r="F81" s="212">
        <f>-Assump!B39</f>
        <v>-206125987.5</v>
      </c>
      <c r="G81" s="212">
        <f>-G90</f>
        <v>-19889060.8572756</v>
      </c>
      <c r="H81" s="212">
        <f>-H90</f>
        <v>-21181849.8129985</v>
      </c>
      <c r="I81" s="212">
        <f t="shared" ref="I81:AE81" si="72">-I90</f>
        <v>-22558670.0508434</v>
      </c>
      <c r="J81" s="212">
        <f t="shared" si="72"/>
        <v>-24024983.6041482</v>
      </c>
      <c r="K81" s="212">
        <f t="shared" si="72"/>
        <v>-25586607.5384179</v>
      </c>
      <c r="L81" s="212">
        <f t="shared" si="72"/>
        <v>-27249737.028415</v>
      </c>
      <c r="M81" s="212">
        <f t="shared" si="72"/>
        <v>-29020969.935262</v>
      </c>
      <c r="N81" s="212">
        <f t="shared" si="72"/>
        <v>-30907332.981054</v>
      </c>
      <c r="O81" s="212">
        <f t="shared" si="72"/>
        <v>-32916309.6248225</v>
      </c>
      <c r="P81" s="212">
        <f t="shared" si="72"/>
        <v>-35055869.750436</v>
      </c>
      <c r="Q81" s="212">
        <f t="shared" si="72"/>
        <v>-37334501.2842144</v>
      </c>
      <c r="R81" s="212">
        <f t="shared" si="72"/>
        <v>-39761243.8676883</v>
      </c>
      <c r="S81" s="212">
        <f t="shared" si="72"/>
        <v>-42345724.719088</v>
      </c>
      <c r="T81" s="212">
        <f t="shared" si="72"/>
        <v>-45098196.8258288</v>
      </c>
      <c r="U81" s="212">
        <f t="shared" si="72"/>
        <v>-48029579.6195076</v>
      </c>
      <c r="V81" s="212">
        <f t="shared" si="72"/>
        <v>0</v>
      </c>
      <c r="W81" s="212">
        <f t="shared" si="72"/>
        <v>0</v>
      </c>
      <c r="X81" s="212">
        <f t="shared" si="72"/>
        <v>0</v>
      </c>
      <c r="Y81" s="212">
        <f t="shared" si="72"/>
        <v>0</v>
      </c>
      <c r="Z81" s="212">
        <f t="shared" si="72"/>
        <v>0</v>
      </c>
      <c r="AA81" s="212">
        <f t="shared" si="72"/>
        <v>0</v>
      </c>
      <c r="AB81" s="212">
        <f t="shared" si="72"/>
        <v>0</v>
      </c>
      <c r="AC81" s="212">
        <f t="shared" si="72"/>
        <v>0</v>
      </c>
      <c r="AD81" s="212">
        <f t="shared" si="72"/>
        <v>0</v>
      </c>
      <c r="AE81" s="212">
        <f t="shared" si="72"/>
        <v>0</v>
      </c>
    </row>
    <row r="82" s="168" customFormat="1" ht="15" customHeight="1" spans="1:31">
      <c r="A82" s="228" t="s">
        <v>163</v>
      </c>
      <c r="B82" s="229"/>
      <c r="C82" s="230"/>
      <c r="D82" s="231">
        <f t="shared" si="65"/>
        <v>437517463.920524</v>
      </c>
      <c r="E82" s="230"/>
      <c r="F82" s="231">
        <f t="shared" ref="F82:AE82" si="73">SUM(F76:F81)</f>
        <v>-206125987.5</v>
      </c>
      <c r="G82" s="231">
        <f t="shared" si="73"/>
        <v>50090897.7052244</v>
      </c>
      <c r="H82" s="231">
        <f t="shared" si="73"/>
        <v>47113282.0512078</v>
      </c>
      <c r="I82" s="231">
        <f t="shared" si="73"/>
        <v>46044304.1404949</v>
      </c>
      <c r="J82" s="231">
        <f t="shared" si="73"/>
        <v>41934838.0381</v>
      </c>
      <c r="K82" s="231">
        <f t="shared" si="73"/>
        <v>31009750.7661192</v>
      </c>
      <c r="L82" s="231">
        <f t="shared" si="73"/>
        <v>23154387.8010815</v>
      </c>
      <c r="M82" s="231">
        <f t="shared" si="73"/>
        <v>18980084.2551748</v>
      </c>
      <c r="N82" s="231">
        <f t="shared" si="73"/>
        <v>17774467.6537633</v>
      </c>
      <c r="O82" s="231">
        <f t="shared" si="73"/>
        <v>16530969.618994</v>
      </c>
      <c r="P82" s="231">
        <f t="shared" si="73"/>
        <v>15247344.6991499</v>
      </c>
      <c r="Q82" s="231">
        <f t="shared" si="73"/>
        <v>13921209.0775751</v>
      </c>
      <c r="R82" s="231">
        <f t="shared" si="73"/>
        <v>12550031.8445832</v>
      </c>
      <c r="S82" s="231">
        <f t="shared" si="73"/>
        <v>11131125.7113376</v>
      </c>
      <c r="T82" s="231">
        <f t="shared" si="73"/>
        <v>9661637.1297558</v>
      </c>
      <c r="U82" s="231">
        <f t="shared" si="73"/>
        <v>8138535.780167</v>
      </c>
      <c r="V82" s="231">
        <f t="shared" si="73"/>
        <v>57710105.6807505</v>
      </c>
      <c r="W82" s="231">
        <f t="shared" si="73"/>
        <v>56901136.0190086</v>
      </c>
      <c r="X82" s="231">
        <f t="shared" si="73"/>
        <v>56082315.2935631</v>
      </c>
      <c r="Y82" s="231">
        <f t="shared" si="73"/>
        <v>55253298.7176211</v>
      </c>
      <c r="Z82" s="231">
        <f t="shared" si="73"/>
        <v>54413729.4368517</v>
      </c>
      <c r="AA82" s="231">
        <f t="shared" si="73"/>
        <v>-13821278.3732602</v>
      </c>
      <c r="AB82" s="231">
        <f t="shared" si="73"/>
        <v>-14267047.0675707</v>
      </c>
      <c r="AC82" s="231">
        <f t="shared" si="73"/>
        <v>-14728415.7233674</v>
      </c>
      <c r="AD82" s="231">
        <f t="shared" si="73"/>
        <v>-15205930.3387195</v>
      </c>
      <c r="AE82" s="231">
        <f t="shared" si="73"/>
        <v>-15700156.0216285</v>
      </c>
    </row>
    <row r="83" s="175" customFormat="1" ht="15" customHeight="1" spans="1:31">
      <c r="A83" s="291" t="s">
        <v>157</v>
      </c>
      <c r="B83" s="292"/>
      <c r="C83" s="293"/>
      <c r="D83" s="294"/>
      <c r="E83" s="293"/>
      <c r="F83" s="294">
        <f>F82</f>
        <v>-206125987.5</v>
      </c>
      <c r="G83" s="294">
        <f t="shared" ref="G83:AE83" si="74">F83+G82</f>
        <v>-156035089.794776</v>
      </c>
      <c r="H83" s="294">
        <f t="shared" si="74"/>
        <v>-108921807.743568</v>
      </c>
      <c r="I83" s="294">
        <f t="shared" si="74"/>
        <v>-62877503.6030729</v>
      </c>
      <c r="J83" s="294">
        <f t="shared" si="74"/>
        <v>-20942665.5649729</v>
      </c>
      <c r="K83" s="294">
        <f t="shared" si="74"/>
        <v>10067085.2011464</v>
      </c>
      <c r="L83" s="294">
        <f t="shared" si="74"/>
        <v>33221473.0022279</v>
      </c>
      <c r="M83" s="294">
        <f t="shared" si="74"/>
        <v>52201557.2574027</v>
      </c>
      <c r="N83" s="294">
        <f t="shared" si="74"/>
        <v>69976024.911166</v>
      </c>
      <c r="O83" s="294">
        <f t="shared" si="74"/>
        <v>86506994.53016</v>
      </c>
      <c r="P83" s="294">
        <f t="shared" si="74"/>
        <v>101754339.22931</v>
      </c>
      <c r="Q83" s="294">
        <f t="shared" si="74"/>
        <v>115675548.306885</v>
      </c>
      <c r="R83" s="294">
        <f t="shared" si="74"/>
        <v>128225580.151468</v>
      </c>
      <c r="S83" s="294">
        <f t="shared" si="74"/>
        <v>139356705.862806</v>
      </c>
      <c r="T83" s="294">
        <f t="shared" si="74"/>
        <v>149018342.992562</v>
      </c>
      <c r="U83" s="294">
        <f t="shared" si="74"/>
        <v>157156878.772729</v>
      </c>
      <c r="V83" s="294">
        <f t="shared" si="74"/>
        <v>214866984.453479</v>
      </c>
      <c r="W83" s="294">
        <f t="shared" si="74"/>
        <v>271768120.472488</v>
      </c>
      <c r="X83" s="294">
        <f t="shared" si="74"/>
        <v>327850435.766051</v>
      </c>
      <c r="Y83" s="294">
        <f t="shared" si="74"/>
        <v>383103734.483672</v>
      </c>
      <c r="Z83" s="294">
        <f t="shared" si="74"/>
        <v>437517463.920524</v>
      </c>
      <c r="AA83" s="294">
        <f t="shared" si="74"/>
        <v>423696185.547263</v>
      </c>
      <c r="AB83" s="294">
        <f t="shared" si="74"/>
        <v>409429138.479693</v>
      </c>
      <c r="AC83" s="294">
        <f t="shared" si="74"/>
        <v>394700722.756325</v>
      </c>
      <c r="AD83" s="294">
        <f t="shared" si="74"/>
        <v>379494792.417606</v>
      </c>
      <c r="AE83" s="294">
        <f t="shared" si="74"/>
        <v>363794636.395977</v>
      </c>
    </row>
    <row r="84" s="174" customFormat="1" ht="15" customHeight="1" spans="1:31">
      <c r="A84" s="295" t="s">
        <v>164</v>
      </c>
      <c r="B84" s="275"/>
      <c r="C84" s="296"/>
      <c r="D84" s="297">
        <f>IRR(F82:Z82)</f>
        <v>0.157133171347432</v>
      </c>
      <c r="E84" s="276"/>
      <c r="F84" s="180"/>
      <c r="G84" s="285"/>
      <c r="H84" s="285"/>
      <c r="I84" s="327"/>
      <c r="J84" s="285"/>
      <c r="K84" s="305"/>
      <c r="L84" s="305"/>
      <c r="M84" s="285"/>
      <c r="N84" s="285"/>
      <c r="O84" s="327"/>
      <c r="P84" s="285"/>
      <c r="Q84" s="305"/>
      <c r="R84" s="305"/>
      <c r="S84" s="285"/>
      <c r="T84" s="285"/>
      <c r="U84" s="327"/>
      <c r="V84" s="285"/>
      <c r="W84" s="305"/>
      <c r="X84" s="305"/>
      <c r="Y84" s="285"/>
      <c r="Z84" s="327"/>
      <c r="AA84" s="305"/>
      <c r="AB84" s="305"/>
      <c r="AC84" s="305"/>
      <c r="AD84" s="305"/>
      <c r="AE84" s="305"/>
    </row>
    <row r="85" s="174" customFormat="1" ht="15" customHeight="1" spans="1:31">
      <c r="A85" s="295" t="s">
        <v>165</v>
      </c>
      <c r="B85" s="304"/>
      <c r="C85" s="276"/>
      <c r="D85" s="300">
        <f>COUNTIF(F83:Z83,"&lt;0")-INDEX(F83:Z83,COUNTIF(F83:Z83,"&lt;0"))/INDEX(F82:Z82,COUNTIF(F83:Z83,"&lt;0")+1)-1</f>
        <v>4.67535742943973</v>
      </c>
      <c r="E85" s="276"/>
      <c r="F85" s="305"/>
      <c r="G85" s="285"/>
      <c r="H85" s="285"/>
      <c r="I85" s="327"/>
      <c r="J85" s="285"/>
      <c r="K85" s="305"/>
      <c r="L85" s="305"/>
      <c r="M85" s="285"/>
      <c r="N85" s="285"/>
      <c r="O85" s="327"/>
      <c r="P85" s="285"/>
      <c r="Q85" s="305"/>
      <c r="R85" s="305"/>
      <c r="S85" s="285"/>
      <c r="T85" s="285"/>
      <c r="U85" s="327"/>
      <c r="V85" s="285"/>
      <c r="W85" s="305"/>
      <c r="X85" s="305"/>
      <c r="Y85" s="285"/>
      <c r="Z85" s="327"/>
      <c r="AA85" s="305"/>
      <c r="AB85" s="305"/>
      <c r="AC85" s="305"/>
      <c r="AD85" s="305"/>
      <c r="AE85" s="305"/>
    </row>
    <row r="86" ht="15" customHeight="1" spans="1:31">
      <c r="A86" s="302"/>
      <c r="B86" s="303"/>
      <c r="C86" s="276"/>
      <c r="D86" s="285"/>
      <c r="E86" s="276"/>
      <c r="F86" s="305"/>
      <c r="G86" s="285"/>
      <c r="H86" s="285"/>
      <c r="I86" s="327"/>
      <c r="J86" s="285"/>
      <c r="K86" s="305"/>
      <c r="L86" s="305"/>
      <c r="M86" s="285"/>
      <c r="N86" s="285"/>
      <c r="O86" s="327"/>
      <c r="P86" s="285"/>
      <c r="Q86" s="305"/>
      <c r="R86" s="305"/>
      <c r="S86" s="285"/>
      <c r="T86" s="285"/>
      <c r="U86" s="327"/>
      <c r="V86" s="285"/>
      <c r="W86" s="305"/>
      <c r="X86" s="305"/>
      <c r="Y86" s="285"/>
      <c r="Z86" s="327"/>
      <c r="AA86" s="305"/>
      <c r="AB86" s="305"/>
      <c r="AC86" s="305"/>
      <c r="AD86" s="305"/>
      <c r="AE86" s="305"/>
    </row>
    <row r="87" ht="15" customHeight="1" spans="1:31">
      <c r="A87" s="302"/>
      <c r="B87" s="303"/>
      <c r="C87" s="276"/>
      <c r="D87" s="306"/>
      <c r="E87" s="276"/>
      <c r="F87" s="305"/>
      <c r="G87" s="285"/>
      <c r="H87" s="285"/>
      <c r="I87" s="327"/>
      <c r="J87" s="285"/>
      <c r="K87" s="305"/>
      <c r="L87" s="305"/>
      <c r="M87" s="285"/>
      <c r="N87" s="285"/>
      <c r="O87" s="327"/>
      <c r="P87" s="285"/>
      <c r="Q87" s="305"/>
      <c r="R87" s="305"/>
      <c r="S87" s="285"/>
      <c r="T87" s="285"/>
      <c r="U87" s="327"/>
      <c r="V87" s="285"/>
      <c r="W87" s="305"/>
      <c r="X87" s="305"/>
      <c r="Y87" s="285"/>
      <c r="Z87" s="327"/>
      <c r="AA87" s="305"/>
      <c r="AB87" s="305"/>
      <c r="AC87" s="305"/>
      <c r="AD87" s="305"/>
      <c r="AE87" s="305"/>
    </row>
    <row r="88" s="176" customFormat="1" ht="15" customHeight="1" spans="1:31">
      <c r="A88" s="307" t="s">
        <v>166</v>
      </c>
      <c r="B88" s="308"/>
      <c r="C88" s="309"/>
      <c r="D88" s="310"/>
      <c r="E88" s="309"/>
      <c r="F88" s="310">
        <v>0</v>
      </c>
      <c r="G88" s="310">
        <v>1</v>
      </c>
      <c r="H88" s="310">
        <f>G88+1</f>
        <v>2</v>
      </c>
      <c r="I88" s="310">
        <f>H88+1</f>
        <v>3</v>
      </c>
      <c r="J88" s="310">
        <f t="shared" ref="J88:AE88" si="75">I88+1</f>
        <v>4</v>
      </c>
      <c r="K88" s="310">
        <f t="shared" si="75"/>
        <v>5</v>
      </c>
      <c r="L88" s="310">
        <f t="shared" si="75"/>
        <v>6</v>
      </c>
      <c r="M88" s="310">
        <f t="shared" si="75"/>
        <v>7</v>
      </c>
      <c r="N88" s="310">
        <f t="shared" si="75"/>
        <v>8</v>
      </c>
      <c r="O88" s="310">
        <f t="shared" si="75"/>
        <v>9</v>
      </c>
      <c r="P88" s="310">
        <f t="shared" si="75"/>
        <v>10</v>
      </c>
      <c r="Q88" s="310">
        <f t="shared" si="75"/>
        <v>11</v>
      </c>
      <c r="R88" s="310">
        <f t="shared" si="75"/>
        <v>12</v>
      </c>
      <c r="S88" s="310">
        <f t="shared" si="75"/>
        <v>13</v>
      </c>
      <c r="T88" s="310">
        <f t="shared" si="75"/>
        <v>14</v>
      </c>
      <c r="U88" s="310">
        <f t="shared" si="75"/>
        <v>15</v>
      </c>
      <c r="V88" s="310">
        <f t="shared" si="75"/>
        <v>16</v>
      </c>
      <c r="W88" s="310">
        <f t="shared" si="75"/>
        <v>17</v>
      </c>
      <c r="X88" s="310">
        <f t="shared" si="75"/>
        <v>18</v>
      </c>
      <c r="Y88" s="310">
        <f t="shared" si="75"/>
        <v>19</v>
      </c>
      <c r="Z88" s="310">
        <f t="shared" si="75"/>
        <v>20</v>
      </c>
      <c r="AA88" s="310">
        <f t="shared" si="75"/>
        <v>21</v>
      </c>
      <c r="AB88" s="310">
        <f t="shared" si="75"/>
        <v>22</v>
      </c>
      <c r="AC88" s="310">
        <f t="shared" si="75"/>
        <v>23</v>
      </c>
      <c r="AD88" s="310">
        <f t="shared" si="75"/>
        <v>24</v>
      </c>
      <c r="AE88" s="310">
        <f t="shared" si="75"/>
        <v>25</v>
      </c>
    </row>
    <row r="89" ht="15" customHeight="1" spans="1:31">
      <c r="A89" s="311" t="s">
        <v>167</v>
      </c>
      <c r="B89" s="312"/>
      <c r="C89" s="241"/>
      <c r="D89" s="313"/>
      <c r="E89" s="241"/>
      <c r="F89" s="313">
        <f>Assump!B40</f>
        <v>480960637.5</v>
      </c>
      <c r="G89" s="313">
        <f t="shared" ref="G89:AE89" si="76">F92</f>
        <v>480960637.5</v>
      </c>
      <c r="H89" s="313">
        <f t="shared" si="76"/>
        <v>461071576.642724</v>
      </c>
      <c r="I89" s="313">
        <f t="shared" si="76"/>
        <v>439889726.829726</v>
      </c>
      <c r="J89" s="313">
        <f t="shared" si="76"/>
        <v>417331056.778882</v>
      </c>
      <c r="K89" s="313">
        <f t="shared" si="76"/>
        <v>393306073.174734</v>
      </c>
      <c r="L89" s="313">
        <f t="shared" si="76"/>
        <v>367719465.636316</v>
      </c>
      <c r="M89" s="313">
        <f t="shared" si="76"/>
        <v>340469728.607901</v>
      </c>
      <c r="N89" s="313">
        <f t="shared" si="76"/>
        <v>311448758.672639</v>
      </c>
      <c r="O89" s="313">
        <f t="shared" si="76"/>
        <v>280541425.691585</v>
      </c>
      <c r="P89" s="313">
        <f t="shared" si="76"/>
        <v>247625116.066763</v>
      </c>
      <c r="Q89" s="313">
        <f t="shared" si="76"/>
        <v>212569246.316327</v>
      </c>
      <c r="R89" s="313">
        <f t="shared" si="76"/>
        <v>175234745.032112</v>
      </c>
      <c r="S89" s="313">
        <f t="shared" si="76"/>
        <v>135473501.164424</v>
      </c>
      <c r="T89" s="313">
        <f t="shared" si="76"/>
        <v>93127776.4453359</v>
      </c>
      <c r="U89" s="313">
        <f t="shared" si="76"/>
        <v>48029579.6195072</v>
      </c>
      <c r="V89" s="313">
        <f t="shared" si="76"/>
        <v>-4.54485416412354e-7</v>
      </c>
      <c r="W89" s="313">
        <f t="shared" si="76"/>
        <v>-4.54485416412354e-7</v>
      </c>
      <c r="X89" s="313">
        <f t="shared" si="76"/>
        <v>-4.54485416412354e-7</v>
      </c>
      <c r="Y89" s="313">
        <f t="shared" si="76"/>
        <v>-4.54485416412354e-7</v>
      </c>
      <c r="Z89" s="313">
        <f t="shared" si="76"/>
        <v>-4.54485416412354e-7</v>
      </c>
      <c r="AA89" s="313">
        <f t="shared" si="76"/>
        <v>-4.54485416412354e-7</v>
      </c>
      <c r="AB89" s="313">
        <f t="shared" si="76"/>
        <v>-4.54485416412354e-7</v>
      </c>
      <c r="AC89" s="313">
        <f t="shared" si="76"/>
        <v>-4.54485416412354e-7</v>
      </c>
      <c r="AD89" s="313">
        <f t="shared" si="76"/>
        <v>-4.54485416412354e-7</v>
      </c>
      <c r="AE89" s="313">
        <f t="shared" si="76"/>
        <v>-4.54485416412354e-7</v>
      </c>
    </row>
    <row r="90" ht="15" customHeight="1" spans="1:31">
      <c r="A90" s="314" t="s">
        <v>168</v>
      </c>
      <c r="B90" s="315">
        <f>Assump!B42</f>
        <v>15</v>
      </c>
      <c r="D90" s="212">
        <f t="shared" ref="D90:D98" si="77">SUM(F90:Z90)</f>
        <v>480960637.5</v>
      </c>
      <c r="F90" s="212"/>
      <c r="G90" s="212">
        <f>IF(G88&lt;=$B$90,-PPMT($B$91,G88,$B$90,$F$89),0)</f>
        <v>19889060.8572756</v>
      </c>
      <c r="H90" s="212">
        <f t="shared" ref="H90:T90" si="78">IF(H88&lt;=$B$90,-PPMT($B$91,H88,$B$90,$F$89),0)</f>
        <v>21181849.8129985</v>
      </c>
      <c r="I90" s="212">
        <f t="shared" si="78"/>
        <v>22558670.0508434</v>
      </c>
      <c r="J90" s="212">
        <f t="shared" si="78"/>
        <v>24024983.6041482</v>
      </c>
      <c r="K90" s="212">
        <f t="shared" si="78"/>
        <v>25586607.5384179</v>
      </c>
      <c r="L90" s="212">
        <f t="shared" si="78"/>
        <v>27249737.028415</v>
      </c>
      <c r="M90" s="212">
        <f t="shared" si="78"/>
        <v>29020969.935262</v>
      </c>
      <c r="N90" s="212">
        <f t="shared" si="78"/>
        <v>30907332.981054</v>
      </c>
      <c r="O90" s="212">
        <f t="shared" si="78"/>
        <v>32916309.6248225</v>
      </c>
      <c r="P90" s="212">
        <f t="shared" si="78"/>
        <v>35055869.750436</v>
      </c>
      <c r="Q90" s="212">
        <f t="shared" si="78"/>
        <v>37334501.2842144</v>
      </c>
      <c r="R90" s="212">
        <f t="shared" si="78"/>
        <v>39761243.8676883</v>
      </c>
      <c r="S90" s="212">
        <f t="shared" si="78"/>
        <v>42345724.719088</v>
      </c>
      <c r="T90" s="212">
        <f t="shared" si="78"/>
        <v>45098196.8258288</v>
      </c>
      <c r="U90" s="212">
        <f t="shared" ref="U90:AE90" si="79">IF(U88&lt;=$B$90,-PPMT($B$91,U88,$B$90,$F$89),0)</f>
        <v>48029579.6195076</v>
      </c>
      <c r="V90" s="212">
        <f t="shared" si="79"/>
        <v>0</v>
      </c>
      <c r="W90" s="212">
        <f t="shared" si="79"/>
        <v>0</v>
      </c>
      <c r="X90" s="212">
        <f t="shared" si="79"/>
        <v>0</v>
      </c>
      <c r="Y90" s="212">
        <f t="shared" si="79"/>
        <v>0</v>
      </c>
      <c r="Z90" s="212">
        <f t="shared" si="79"/>
        <v>0</v>
      </c>
      <c r="AA90" s="212">
        <f t="shared" si="79"/>
        <v>0</v>
      </c>
      <c r="AB90" s="212">
        <f t="shared" si="79"/>
        <v>0</v>
      </c>
      <c r="AC90" s="212">
        <f t="shared" si="79"/>
        <v>0</v>
      </c>
      <c r="AD90" s="212">
        <f t="shared" si="79"/>
        <v>0</v>
      </c>
      <c r="AE90" s="212">
        <f t="shared" si="79"/>
        <v>0</v>
      </c>
    </row>
    <row r="91" ht="15" customHeight="1" spans="1:31">
      <c r="A91" s="314" t="s">
        <v>169</v>
      </c>
      <c r="B91" s="316">
        <f>Assump!B41</f>
        <v>0.065</v>
      </c>
      <c r="C91" s="317"/>
      <c r="D91" s="212">
        <f t="shared" si="77"/>
        <v>286311896.921634</v>
      </c>
      <c r="E91" s="317"/>
      <c r="F91" s="212"/>
      <c r="G91" s="212">
        <f>G89*$B$91</f>
        <v>31262441.4375</v>
      </c>
      <c r="H91" s="212">
        <f>H89*$B$91</f>
        <v>29969652.4817771</v>
      </c>
      <c r="I91" s="212">
        <f t="shared" ref="I91:AE91" si="80">I89*$B$91</f>
        <v>28592832.2439322</v>
      </c>
      <c r="J91" s="212">
        <f t="shared" si="80"/>
        <v>27126518.6906274</v>
      </c>
      <c r="K91" s="212">
        <f t="shared" si="80"/>
        <v>25564894.7563577</v>
      </c>
      <c r="L91" s="212">
        <f t="shared" si="80"/>
        <v>23901765.2663606</v>
      </c>
      <c r="M91" s="212">
        <f t="shared" si="80"/>
        <v>22130532.3595136</v>
      </c>
      <c r="N91" s="212">
        <f t="shared" si="80"/>
        <v>20244169.3137216</v>
      </c>
      <c r="O91" s="212">
        <f t="shared" si="80"/>
        <v>18235192.669953</v>
      </c>
      <c r="P91" s="212">
        <f t="shared" si="80"/>
        <v>16095632.5443396</v>
      </c>
      <c r="Q91" s="212">
        <f t="shared" si="80"/>
        <v>13817001.0105612</v>
      </c>
      <c r="R91" s="212">
        <f t="shared" si="80"/>
        <v>11390258.4270873</v>
      </c>
      <c r="S91" s="212">
        <f t="shared" si="80"/>
        <v>8805777.57568756</v>
      </c>
      <c r="T91" s="212">
        <f t="shared" si="80"/>
        <v>6053305.46894683</v>
      </c>
      <c r="U91" s="212">
        <f t="shared" si="80"/>
        <v>3121922.67526797</v>
      </c>
      <c r="V91" s="212">
        <f t="shared" si="80"/>
        <v>-2.9541552066803e-8</v>
      </c>
      <c r="W91" s="212">
        <f t="shared" si="80"/>
        <v>-2.9541552066803e-8</v>
      </c>
      <c r="X91" s="212">
        <f t="shared" si="80"/>
        <v>-2.9541552066803e-8</v>
      </c>
      <c r="Y91" s="212">
        <f t="shared" si="80"/>
        <v>-2.9541552066803e-8</v>
      </c>
      <c r="Z91" s="212">
        <f t="shared" si="80"/>
        <v>-2.9541552066803e-8</v>
      </c>
      <c r="AA91" s="212">
        <f t="shared" si="80"/>
        <v>-2.9541552066803e-8</v>
      </c>
      <c r="AB91" s="212">
        <f t="shared" si="80"/>
        <v>-2.9541552066803e-8</v>
      </c>
      <c r="AC91" s="212">
        <f t="shared" si="80"/>
        <v>-2.9541552066803e-8</v>
      </c>
      <c r="AD91" s="212">
        <f t="shared" si="80"/>
        <v>-2.9541552066803e-8</v>
      </c>
      <c r="AE91" s="212">
        <f t="shared" si="80"/>
        <v>-2.9541552066803e-8</v>
      </c>
    </row>
    <row r="92" ht="15" customHeight="1" spans="1:31">
      <c r="A92" s="318" t="s">
        <v>170</v>
      </c>
      <c r="B92" s="319"/>
      <c r="C92" s="317"/>
      <c r="D92" s="320"/>
      <c r="E92" s="317"/>
      <c r="F92" s="320">
        <f>F89-F90</f>
        <v>480960637.5</v>
      </c>
      <c r="G92" s="320">
        <f>G89-G90</f>
        <v>461071576.642724</v>
      </c>
      <c r="H92" s="320">
        <f t="shared" ref="H92:AE92" si="81">H89-H90</f>
        <v>439889726.829726</v>
      </c>
      <c r="I92" s="320">
        <f t="shared" si="81"/>
        <v>417331056.778882</v>
      </c>
      <c r="J92" s="320">
        <f t="shared" si="81"/>
        <v>393306073.174734</v>
      </c>
      <c r="K92" s="320">
        <f t="shared" si="81"/>
        <v>367719465.636316</v>
      </c>
      <c r="L92" s="320">
        <f t="shared" si="81"/>
        <v>340469728.607901</v>
      </c>
      <c r="M92" s="320">
        <f t="shared" si="81"/>
        <v>311448758.672639</v>
      </c>
      <c r="N92" s="320">
        <f t="shared" si="81"/>
        <v>280541425.691585</v>
      </c>
      <c r="O92" s="320">
        <f t="shared" si="81"/>
        <v>247625116.066763</v>
      </c>
      <c r="P92" s="320">
        <f t="shared" si="81"/>
        <v>212569246.316327</v>
      </c>
      <c r="Q92" s="320">
        <f t="shared" si="81"/>
        <v>175234745.032112</v>
      </c>
      <c r="R92" s="320">
        <f t="shared" si="81"/>
        <v>135473501.164424</v>
      </c>
      <c r="S92" s="320">
        <f t="shared" si="81"/>
        <v>93127776.4453359</v>
      </c>
      <c r="T92" s="320">
        <f t="shared" si="81"/>
        <v>48029579.6195072</v>
      </c>
      <c r="U92" s="320">
        <f t="shared" si="81"/>
        <v>-4.54485416412354e-7</v>
      </c>
      <c r="V92" s="320">
        <f t="shared" si="81"/>
        <v>-4.54485416412354e-7</v>
      </c>
      <c r="W92" s="320">
        <f t="shared" si="81"/>
        <v>-4.54485416412354e-7</v>
      </c>
      <c r="X92" s="320">
        <f t="shared" si="81"/>
        <v>-4.54485416412354e-7</v>
      </c>
      <c r="Y92" s="320">
        <f t="shared" si="81"/>
        <v>-4.54485416412354e-7</v>
      </c>
      <c r="Z92" s="320">
        <f t="shared" si="81"/>
        <v>-4.54485416412354e-7</v>
      </c>
      <c r="AA92" s="320">
        <f t="shared" si="81"/>
        <v>-4.54485416412354e-7</v>
      </c>
      <c r="AB92" s="320">
        <f t="shared" si="81"/>
        <v>-4.54485416412354e-7</v>
      </c>
      <c r="AC92" s="320">
        <f t="shared" si="81"/>
        <v>-4.54485416412354e-7</v>
      </c>
      <c r="AD92" s="320">
        <f t="shared" si="81"/>
        <v>-4.54485416412354e-7</v>
      </c>
      <c r="AE92" s="320">
        <f t="shared" si="81"/>
        <v>-4.54485416412354e-7</v>
      </c>
    </row>
    <row r="93" spans="1:31">
      <c r="A93" s="321"/>
      <c r="B93" s="322"/>
      <c r="C93" s="323"/>
      <c r="D93" s="324"/>
      <c r="E93" s="323"/>
      <c r="F93" s="324"/>
      <c r="G93" s="324"/>
      <c r="H93" s="324"/>
      <c r="I93" s="324"/>
      <c r="J93" s="324"/>
      <c r="K93" s="324" t="s">
        <v>171</v>
      </c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</row>
    <row r="94" spans="1:31">
      <c r="A94" s="321"/>
      <c r="B94" s="322"/>
      <c r="C94" s="323"/>
      <c r="D94" s="324"/>
      <c r="E94" s="323"/>
      <c r="F94" s="324"/>
      <c r="G94" s="32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24"/>
      <c r="X94" s="324"/>
      <c r="Y94" s="324"/>
      <c r="Z94" s="324"/>
      <c r="AA94" s="324"/>
      <c r="AB94" s="324"/>
      <c r="AC94" s="324"/>
      <c r="AD94" s="324"/>
      <c r="AE94" s="324"/>
    </row>
    <row r="95" ht="14.25" customHeight="1" spans="1:31">
      <c r="A95" s="325" t="s">
        <v>172</v>
      </c>
      <c r="B95" s="322"/>
      <c r="C95" s="323"/>
      <c r="D95" s="212">
        <f t="shared" si="77"/>
        <v>2623591968</v>
      </c>
      <c r="E95" s="323"/>
      <c r="F95" s="326">
        <f>G23</f>
        <v>137678000</v>
      </c>
      <c r="G95" s="326">
        <f t="shared" ref="G95:Z95" si="82">H23</f>
        <v>134236050</v>
      </c>
      <c r="H95" s="326">
        <f t="shared" si="82"/>
        <v>133189697.2</v>
      </c>
      <c r="I95" s="326">
        <f t="shared" si="82"/>
        <v>132143344.4</v>
      </c>
      <c r="J95" s="326">
        <f t="shared" si="82"/>
        <v>131096991.6</v>
      </c>
      <c r="K95" s="326">
        <f t="shared" si="82"/>
        <v>130050638.8</v>
      </c>
      <c r="L95" s="326">
        <f t="shared" si="82"/>
        <v>129004286</v>
      </c>
      <c r="M95" s="326">
        <f t="shared" si="82"/>
        <v>127957933.2</v>
      </c>
      <c r="N95" s="326">
        <f t="shared" si="82"/>
        <v>126911580.4</v>
      </c>
      <c r="O95" s="326">
        <f t="shared" si="82"/>
        <v>125865227.6</v>
      </c>
      <c r="P95" s="326">
        <f t="shared" si="82"/>
        <v>124818874.8</v>
      </c>
      <c r="Q95" s="326">
        <f t="shared" si="82"/>
        <v>123772522</v>
      </c>
      <c r="R95" s="326">
        <f t="shared" si="82"/>
        <v>122726169.2</v>
      </c>
      <c r="S95" s="326">
        <f t="shared" si="82"/>
        <v>121679816.4</v>
      </c>
      <c r="T95" s="326">
        <f t="shared" si="82"/>
        <v>120633463.6</v>
      </c>
      <c r="U95" s="326">
        <f t="shared" si="82"/>
        <v>119587110.8</v>
      </c>
      <c r="V95" s="326">
        <f t="shared" si="82"/>
        <v>118540758</v>
      </c>
      <c r="W95" s="326">
        <f t="shared" si="82"/>
        <v>117494405.2</v>
      </c>
      <c r="X95" s="326">
        <f t="shared" si="82"/>
        <v>116448052.4</v>
      </c>
      <c r="Y95" s="326">
        <f t="shared" si="82"/>
        <v>115401699.6</v>
      </c>
      <c r="Z95" s="326">
        <f t="shared" si="82"/>
        <v>114355346.8</v>
      </c>
      <c r="AA95" s="324"/>
      <c r="AB95" s="324"/>
      <c r="AC95" s="324"/>
      <c r="AD95" s="324"/>
      <c r="AE95" s="324"/>
    </row>
    <row r="96" ht="14.25" customHeight="1" spans="1:31">
      <c r="A96" s="325" t="s">
        <v>173</v>
      </c>
      <c r="B96" s="322">
        <v>400</v>
      </c>
      <c r="C96" s="323"/>
      <c r="D96" s="212">
        <f t="shared" si="77"/>
        <v>1049436.7872</v>
      </c>
      <c r="E96" s="323"/>
      <c r="F96" s="326">
        <f>F95*$B$96/1000000</f>
        <v>55071.2</v>
      </c>
      <c r="G96" s="326">
        <f t="shared" ref="G96:Z96" si="83">G95*$B$96/1000000</f>
        <v>53694.42</v>
      </c>
      <c r="H96" s="326">
        <f t="shared" si="83"/>
        <v>53275.87888</v>
      </c>
      <c r="I96" s="326">
        <f t="shared" si="83"/>
        <v>52857.33776</v>
      </c>
      <c r="J96" s="326">
        <f t="shared" si="83"/>
        <v>52438.79664</v>
      </c>
      <c r="K96" s="326">
        <f t="shared" si="83"/>
        <v>52020.25552</v>
      </c>
      <c r="L96" s="326">
        <f t="shared" si="83"/>
        <v>51601.7144</v>
      </c>
      <c r="M96" s="326">
        <f t="shared" si="83"/>
        <v>51183.17328</v>
      </c>
      <c r="N96" s="326">
        <f t="shared" si="83"/>
        <v>50764.63216</v>
      </c>
      <c r="O96" s="326">
        <f t="shared" si="83"/>
        <v>50346.09104</v>
      </c>
      <c r="P96" s="326">
        <f t="shared" si="83"/>
        <v>49927.54992</v>
      </c>
      <c r="Q96" s="326">
        <f t="shared" si="83"/>
        <v>49509.0088</v>
      </c>
      <c r="R96" s="326">
        <f t="shared" si="83"/>
        <v>49090.46768</v>
      </c>
      <c r="S96" s="326">
        <f t="shared" si="83"/>
        <v>48671.92656</v>
      </c>
      <c r="T96" s="326">
        <f t="shared" si="83"/>
        <v>48253.38544</v>
      </c>
      <c r="U96" s="326">
        <f t="shared" si="83"/>
        <v>47834.84432</v>
      </c>
      <c r="V96" s="326">
        <f t="shared" si="83"/>
        <v>47416.3032</v>
      </c>
      <c r="W96" s="326">
        <f t="shared" si="83"/>
        <v>46997.76208</v>
      </c>
      <c r="X96" s="326">
        <f t="shared" si="83"/>
        <v>46579.2209599999</v>
      </c>
      <c r="Y96" s="326">
        <f t="shared" si="83"/>
        <v>46160.6798399999</v>
      </c>
      <c r="Z96" s="326">
        <f t="shared" si="83"/>
        <v>45742.1387199999</v>
      </c>
      <c r="AA96" s="324"/>
      <c r="AB96" s="324"/>
      <c r="AC96" s="324"/>
      <c r="AD96" s="324"/>
      <c r="AE96" s="324"/>
    </row>
    <row r="97" ht="14.25" customHeight="1" spans="1:31">
      <c r="A97" s="325" t="s">
        <v>174</v>
      </c>
      <c r="B97" s="322">
        <v>272</v>
      </c>
      <c r="C97" s="323"/>
      <c r="D97" s="212">
        <f t="shared" si="77"/>
        <v>713617.015296</v>
      </c>
      <c r="E97" s="323"/>
      <c r="F97" s="326">
        <f>F95*$B$97/1000000</f>
        <v>37448.416</v>
      </c>
      <c r="G97" s="326">
        <f t="shared" ref="G97:Z97" si="84">G95*$B$97/1000000</f>
        <v>36512.2056</v>
      </c>
      <c r="H97" s="326">
        <f t="shared" si="84"/>
        <v>36227.5976384</v>
      </c>
      <c r="I97" s="326">
        <f t="shared" si="84"/>
        <v>35942.9896768</v>
      </c>
      <c r="J97" s="326">
        <f t="shared" si="84"/>
        <v>35658.3817152</v>
      </c>
      <c r="K97" s="326">
        <f t="shared" si="84"/>
        <v>35373.7737536</v>
      </c>
      <c r="L97" s="326">
        <f t="shared" si="84"/>
        <v>35089.165792</v>
      </c>
      <c r="M97" s="326">
        <f t="shared" si="84"/>
        <v>34804.5578304</v>
      </c>
      <c r="N97" s="326">
        <f t="shared" si="84"/>
        <v>34519.9498688</v>
      </c>
      <c r="O97" s="326">
        <f t="shared" si="84"/>
        <v>34235.3419072</v>
      </c>
      <c r="P97" s="326">
        <f t="shared" si="84"/>
        <v>33950.7339456</v>
      </c>
      <c r="Q97" s="326">
        <f t="shared" si="84"/>
        <v>33666.125984</v>
      </c>
      <c r="R97" s="326">
        <f t="shared" si="84"/>
        <v>33381.5180224</v>
      </c>
      <c r="S97" s="326">
        <f t="shared" si="84"/>
        <v>33096.9100608</v>
      </c>
      <c r="T97" s="326">
        <f t="shared" si="84"/>
        <v>32812.3020992</v>
      </c>
      <c r="U97" s="326">
        <f t="shared" si="84"/>
        <v>32527.6941376</v>
      </c>
      <c r="V97" s="326">
        <f t="shared" si="84"/>
        <v>32243.086176</v>
      </c>
      <c r="W97" s="326">
        <f t="shared" si="84"/>
        <v>31958.4782144</v>
      </c>
      <c r="X97" s="326">
        <f t="shared" si="84"/>
        <v>31673.8702528</v>
      </c>
      <c r="Y97" s="326">
        <f t="shared" si="84"/>
        <v>31389.2622912</v>
      </c>
      <c r="Z97" s="326">
        <f t="shared" si="84"/>
        <v>31104.6543296</v>
      </c>
      <c r="AA97" s="324"/>
      <c r="AB97" s="324"/>
      <c r="AC97" s="324"/>
      <c r="AD97" s="324"/>
      <c r="AE97" s="324"/>
    </row>
    <row r="98" ht="14.25" customHeight="1" spans="1:31">
      <c r="A98" s="325" t="s">
        <v>175</v>
      </c>
      <c r="B98" s="322">
        <v>785</v>
      </c>
      <c r="C98" s="323"/>
      <c r="D98" s="212">
        <f t="shared" si="77"/>
        <v>2059519.69488</v>
      </c>
      <c r="E98" s="323"/>
      <c r="F98" s="326">
        <f>F95*$B$98/1000000</f>
        <v>108077.23</v>
      </c>
      <c r="G98" s="326">
        <f t="shared" ref="G98:Z98" si="85">G95*$B$98/1000000</f>
        <v>105375.29925</v>
      </c>
      <c r="H98" s="326">
        <f t="shared" si="85"/>
        <v>104553.912302</v>
      </c>
      <c r="I98" s="326">
        <f t="shared" si="85"/>
        <v>103732.525354</v>
      </c>
      <c r="J98" s="326">
        <f t="shared" si="85"/>
        <v>102911.138406</v>
      </c>
      <c r="K98" s="326">
        <f t="shared" si="85"/>
        <v>102089.751458</v>
      </c>
      <c r="L98" s="326">
        <f t="shared" si="85"/>
        <v>101268.36451</v>
      </c>
      <c r="M98" s="326">
        <f t="shared" si="85"/>
        <v>100446.977562</v>
      </c>
      <c r="N98" s="326">
        <f t="shared" si="85"/>
        <v>99625.590614</v>
      </c>
      <c r="O98" s="326">
        <f t="shared" si="85"/>
        <v>98804.203666</v>
      </c>
      <c r="P98" s="326">
        <f t="shared" si="85"/>
        <v>97982.816718</v>
      </c>
      <c r="Q98" s="326">
        <f t="shared" si="85"/>
        <v>97161.4297699999</v>
      </c>
      <c r="R98" s="326">
        <f t="shared" si="85"/>
        <v>96340.0428219999</v>
      </c>
      <c r="S98" s="326">
        <f t="shared" si="85"/>
        <v>95518.6558739999</v>
      </c>
      <c r="T98" s="326">
        <f t="shared" si="85"/>
        <v>94697.2689259999</v>
      </c>
      <c r="U98" s="326">
        <f t="shared" si="85"/>
        <v>93875.8819779999</v>
      </c>
      <c r="V98" s="326">
        <f t="shared" si="85"/>
        <v>93054.4950299999</v>
      </c>
      <c r="W98" s="326">
        <f t="shared" si="85"/>
        <v>92233.1080819999</v>
      </c>
      <c r="X98" s="326">
        <f t="shared" si="85"/>
        <v>91411.7211339999</v>
      </c>
      <c r="Y98" s="326">
        <f t="shared" si="85"/>
        <v>90590.3341859999</v>
      </c>
      <c r="Z98" s="326">
        <f t="shared" si="85"/>
        <v>89768.9472379999</v>
      </c>
      <c r="AA98" s="324"/>
      <c r="AB98" s="324"/>
      <c r="AC98" s="324"/>
      <c r="AD98" s="324"/>
      <c r="AE98" s="324"/>
    </row>
    <row r="99" spans="6:13">
      <c r="F99" s="180" t="s">
        <v>176</v>
      </c>
      <c r="J99" s="324"/>
      <c r="K99" s="328"/>
      <c r="L99" s="324"/>
      <c r="M99" s="324"/>
    </row>
  </sheetData>
  <sheetProtection formatCells="0" insertHyperlinks="0" autoFilter="0"/>
  <pageMargins left="0.708333333333333" right="0.708333333333333" top="0.747916666666667" bottom="0.747916666666667" header="0.314583333333333" footer="0.314583333333333"/>
  <pageSetup paperSize="9" scale="58" fitToWidth="2" fitToHeight="2" orientation="landscape"/>
  <headerFooter/>
  <rowBreaks count="1" manualBreakCount="1">
    <brk id="62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71"/>
  <sheetViews>
    <sheetView tabSelected="1" topLeftCell="A2" workbookViewId="0">
      <selection activeCell="BK12" sqref="BK12"/>
    </sheetView>
  </sheetViews>
  <sheetFormatPr defaultColWidth="9" defaultRowHeight="12.4"/>
  <cols>
    <col min="1" max="9" width="11.6216216216216" style="30" customWidth="1"/>
    <col min="10" max="10" width="34.1261261261261" style="30" customWidth="1"/>
    <col min="11" max="11" width="13.8738738738739" style="30" hidden="1" customWidth="1"/>
    <col min="12" max="12" width="9" style="30" hidden="1" customWidth="1"/>
    <col min="13" max="13" width="11.8738738738739" style="30" hidden="1" customWidth="1"/>
    <col min="14" max="14" width="15" style="30" hidden="1" customWidth="1"/>
    <col min="15" max="15" width="9" style="30" hidden="1" customWidth="1"/>
    <col min="16" max="16" width="9.12612612612613" style="30" hidden="1" customWidth="1"/>
    <col min="17" max="17" width="11.2522522522523" style="30" hidden="1" customWidth="1"/>
    <col min="18" max="18" width="12.8738738738739" style="30" hidden="1" customWidth="1"/>
    <col min="19" max="19" width="10.6216216216216" style="30" hidden="1" customWidth="1"/>
    <col min="20" max="21" width="9.12612612612613" style="30" hidden="1" customWidth="1"/>
    <col min="22" max="22" width="9.62162162162162" style="30" hidden="1" customWidth="1"/>
    <col min="23" max="25" width="9.12612612612613" style="30" hidden="1" customWidth="1"/>
    <col min="26" max="26" width="12.8738738738739" style="30" hidden="1" customWidth="1"/>
    <col min="27" max="27" width="9.62162162162162" style="30" hidden="1" customWidth="1"/>
    <col min="28" max="28" width="17.3783783783784" style="30" hidden="1" customWidth="1"/>
    <col min="29" max="29" width="12.8738738738739" style="30" hidden="1" customWidth="1"/>
    <col min="30" max="30" width="14" style="30" hidden="1" customWidth="1"/>
    <col min="31" max="31" width="12.8738738738739" style="30" hidden="1" customWidth="1"/>
    <col min="32" max="33" width="12.7477477477477" style="30" hidden="1" customWidth="1"/>
    <col min="34" max="34" width="9.12612612612613" style="30" hidden="1" customWidth="1"/>
    <col min="35" max="36" width="12.8738738738739" style="30" hidden="1" customWidth="1"/>
    <col min="37" max="39" width="12.6216216216216" style="30" hidden="1" customWidth="1"/>
    <col min="40" max="40" width="11.2522522522523" style="30" hidden="1" customWidth="1"/>
    <col min="41" max="41" width="15.2522522522523" style="30" hidden="1" customWidth="1"/>
    <col min="42" max="44" width="12.8738738738739" style="30" hidden="1" customWidth="1"/>
    <col min="45" max="45" width="11.7477477477477" style="30" hidden="1" customWidth="1"/>
    <col min="46" max="50" width="12.8738738738739" style="30" hidden="1" customWidth="1"/>
    <col min="51" max="51" width="7.62162162162162" style="30" hidden="1" customWidth="1"/>
    <col min="52" max="52" width="12.8738738738739" style="30" hidden="1" customWidth="1"/>
    <col min="53" max="53" width="12.8738738738739" style="31" hidden="1" customWidth="1"/>
    <col min="54" max="54" width="17.3783783783784" style="30" hidden="1" customWidth="1"/>
    <col min="55" max="55" width="12.8738738738739" style="30" hidden="1" customWidth="1"/>
    <col min="56" max="56" width="14" style="30" hidden="1" customWidth="1"/>
    <col min="57" max="57" width="30.8738738738739" style="30" hidden="1" customWidth="1"/>
    <col min="58" max="58" width="14" style="30" hidden="1" customWidth="1"/>
    <col min="59" max="59" width="9.12612612612613" style="30" hidden="1" customWidth="1"/>
    <col min="60" max="60" width="14" style="30" hidden="1" customWidth="1"/>
    <col min="61" max="61" width="9" style="30" hidden="1" customWidth="1"/>
    <col min="62" max="62" width="9" style="30" customWidth="1"/>
    <col min="63" max="16384" width="9" style="30"/>
  </cols>
  <sheetData>
    <row r="1" ht="81" customHeight="1" spans="1:10">
      <c r="A1" s="32" t="s">
        <v>177</v>
      </c>
      <c r="B1" s="33"/>
      <c r="C1" s="33"/>
      <c r="D1" s="33"/>
      <c r="E1" s="33"/>
      <c r="F1" s="33"/>
      <c r="G1" s="33"/>
      <c r="H1" s="33"/>
      <c r="I1" s="33"/>
      <c r="J1" s="91" t="s">
        <v>178</v>
      </c>
    </row>
    <row r="2" ht="27.95" customHeight="1" spans="1:17">
      <c r="A2" s="34" t="s">
        <v>179</v>
      </c>
      <c r="B2" s="35"/>
      <c r="C2" s="35"/>
      <c r="D2" s="35"/>
      <c r="E2" s="35"/>
      <c r="F2" s="35"/>
      <c r="G2" s="35"/>
      <c r="H2" s="35"/>
      <c r="I2" s="92"/>
      <c r="J2" s="93" t="s">
        <v>180</v>
      </c>
      <c r="L2" s="30" t="s">
        <v>181</v>
      </c>
      <c r="N2" s="30" t="s">
        <v>181</v>
      </c>
      <c r="P2" s="30" t="s">
        <v>182</v>
      </c>
      <c r="Q2" s="30" t="s">
        <v>183</v>
      </c>
    </row>
    <row r="3" ht="27.95" customHeight="1" spans="1:17">
      <c r="A3" s="36" t="s">
        <v>184</v>
      </c>
      <c r="B3" s="37" t="s">
        <v>185</v>
      </c>
      <c r="C3" s="37"/>
      <c r="D3" s="37"/>
      <c r="E3" s="37"/>
      <c r="F3" s="37"/>
      <c r="G3" s="37"/>
      <c r="H3" s="37"/>
      <c r="I3" s="94"/>
      <c r="J3" s="95" t="s">
        <v>186</v>
      </c>
      <c r="M3" s="30" t="s">
        <v>187</v>
      </c>
      <c r="O3" s="30" t="s">
        <v>188</v>
      </c>
      <c r="P3" s="30">
        <v>20</v>
      </c>
      <c r="Q3" s="30" t="s">
        <v>189</v>
      </c>
    </row>
    <row r="4" ht="27.95" customHeight="1" spans="1:17">
      <c r="A4" s="36" t="s">
        <v>190</v>
      </c>
      <c r="B4" s="37"/>
      <c r="C4" s="37"/>
      <c r="D4" s="37"/>
      <c r="E4" s="37"/>
      <c r="F4" s="37"/>
      <c r="G4" s="37"/>
      <c r="H4" s="37"/>
      <c r="I4" s="94"/>
      <c r="J4" s="96" t="s">
        <v>191</v>
      </c>
      <c r="M4" s="30" t="s">
        <v>192</v>
      </c>
      <c r="O4" s="30" t="s">
        <v>193</v>
      </c>
      <c r="P4" s="30">
        <v>25</v>
      </c>
      <c r="Q4" s="30" t="s">
        <v>194</v>
      </c>
    </row>
    <row r="5" ht="27.95" customHeight="1" spans="1:15">
      <c r="A5" s="36" t="s">
        <v>179</v>
      </c>
      <c r="B5" s="38" t="s">
        <v>195</v>
      </c>
      <c r="C5" s="39">
        <v>4.5</v>
      </c>
      <c r="D5" s="38" t="s">
        <v>181</v>
      </c>
      <c r="E5" s="37" t="s">
        <v>196</v>
      </c>
      <c r="F5" s="38" t="s">
        <v>197</v>
      </c>
      <c r="G5" s="37" t="s">
        <v>193</v>
      </c>
      <c r="H5" s="38" t="s">
        <v>198</v>
      </c>
      <c r="I5" s="94"/>
      <c r="J5" s="97" t="s">
        <v>199</v>
      </c>
      <c r="M5" s="30" t="s">
        <v>196</v>
      </c>
      <c r="O5" s="30" t="s">
        <v>200</v>
      </c>
    </row>
    <row r="6" ht="27.95" customHeight="1" spans="1:15">
      <c r="A6" s="40" t="s">
        <v>201</v>
      </c>
      <c r="B6" s="41" t="s">
        <v>202</v>
      </c>
      <c r="C6" s="42" t="s">
        <v>203</v>
      </c>
      <c r="D6" s="41" t="s">
        <v>204</v>
      </c>
      <c r="E6" s="42" t="s">
        <v>205</v>
      </c>
      <c r="F6" s="41" t="s">
        <v>206</v>
      </c>
      <c r="G6" s="42" t="s">
        <v>207</v>
      </c>
      <c r="H6" s="41" t="s">
        <v>198</v>
      </c>
      <c r="I6" s="98"/>
      <c r="M6" s="30" t="s">
        <v>208</v>
      </c>
      <c r="O6" s="30" t="s">
        <v>209</v>
      </c>
    </row>
    <row r="7" ht="27.95" customHeight="1" spans="1:9">
      <c r="A7" s="34" t="s">
        <v>210</v>
      </c>
      <c r="B7" s="35"/>
      <c r="C7" s="35"/>
      <c r="D7" s="35"/>
      <c r="E7" s="35"/>
      <c r="F7" s="35"/>
      <c r="G7" s="35"/>
      <c r="H7" s="35"/>
      <c r="I7" s="92"/>
    </row>
    <row r="8" ht="27.95" customHeight="1" spans="1:9">
      <c r="A8" s="36" t="s">
        <v>211</v>
      </c>
      <c r="B8" s="38" t="s">
        <v>212</v>
      </c>
      <c r="C8" s="38" t="s">
        <v>213</v>
      </c>
      <c r="D8" s="38" t="s">
        <v>214</v>
      </c>
      <c r="E8" s="38" t="s">
        <v>215</v>
      </c>
      <c r="F8" s="38" t="s">
        <v>216</v>
      </c>
      <c r="G8" s="38" t="s">
        <v>148</v>
      </c>
      <c r="H8" s="38" t="str">
        <f>A10&amp;"年净收益"</f>
        <v>25年净收益</v>
      </c>
      <c r="I8" s="99" t="str">
        <f>A10&amp;"年净收益率"</f>
        <v>25年净收益率</v>
      </c>
    </row>
    <row r="9" ht="27.95" customHeight="1" spans="1:9">
      <c r="A9" s="36" t="s">
        <v>217</v>
      </c>
      <c r="B9" s="38" t="s">
        <v>218</v>
      </c>
      <c r="C9" s="38" t="s">
        <v>218</v>
      </c>
      <c r="D9" s="38" t="s">
        <v>219</v>
      </c>
      <c r="E9" s="38" t="s">
        <v>219</v>
      </c>
      <c r="F9" s="38" t="s">
        <v>218</v>
      </c>
      <c r="G9" s="38" t="s">
        <v>220</v>
      </c>
      <c r="H9" s="38" t="s">
        <v>218</v>
      </c>
      <c r="I9" s="99" t="s">
        <v>221</v>
      </c>
    </row>
    <row r="10" ht="27.95" customHeight="1" spans="1:9">
      <c r="A10" s="43">
        <v>25</v>
      </c>
      <c r="B10" s="44">
        <f>C5*100*SUM(A25:D25,F25:I25)</f>
        <v>2430</v>
      </c>
      <c r="C10" s="44">
        <f>C5*100*SUM(A25:I25)</f>
        <v>2469.4875</v>
      </c>
      <c r="D10" s="44">
        <f>SUM(A25:D25,F25:I25)</f>
        <v>5.4</v>
      </c>
      <c r="E10" s="44">
        <f>SUM(A25:I25)</f>
        <v>5.48775</v>
      </c>
      <c r="F10" s="44">
        <f ca="1">IF(A10=20,BB67/10000,BB68/10000)</f>
        <v>2433.54552260232</v>
      </c>
      <c r="G10" s="44">
        <f ca="1">IF(A10=20,BA63,BA64)</f>
        <v>0.345305494861349</v>
      </c>
      <c r="H10" s="44">
        <f ca="1">IF(A10=20,AU63/10000,AU64/10000)</f>
        <v>1788.68620030388</v>
      </c>
      <c r="I10" s="100">
        <f ca="1">IF(A10=20,AX63,AX64)</f>
        <v>0.220757130596496</v>
      </c>
    </row>
    <row r="11" ht="27.95" customHeight="1" spans="1:9">
      <c r="A11" s="36" t="s">
        <v>222</v>
      </c>
      <c r="B11" s="38" t="s">
        <v>223</v>
      </c>
      <c r="C11" s="38" t="str">
        <f>A10&amp;"年发电量"</f>
        <v>25年发电量</v>
      </c>
      <c r="D11" s="38" t="str">
        <f>A10&amp;"年均发电量"</f>
        <v>25年均发电量</v>
      </c>
      <c r="E11" s="38" t="str">
        <f>A10&amp;"年均发电时数"</f>
        <v>25年均发电时数</v>
      </c>
      <c r="F11" s="38" t="s">
        <v>224</v>
      </c>
      <c r="G11" s="38" t="s">
        <v>159</v>
      </c>
      <c r="H11" s="38" t="s">
        <v>225</v>
      </c>
      <c r="I11" s="99" t="s">
        <v>165</v>
      </c>
    </row>
    <row r="12" ht="27.95" customHeight="1" spans="1:9">
      <c r="A12" s="36" t="s">
        <v>226</v>
      </c>
      <c r="B12" s="38" t="s">
        <v>227</v>
      </c>
      <c r="C12" s="38" t="s">
        <v>226</v>
      </c>
      <c r="D12" s="38" t="s">
        <v>226</v>
      </c>
      <c r="E12" s="38" t="s">
        <v>226</v>
      </c>
      <c r="F12" s="38" t="s">
        <v>221</v>
      </c>
      <c r="G12" s="38" t="s">
        <v>217</v>
      </c>
      <c r="H12" s="38" t="s">
        <v>221</v>
      </c>
      <c r="I12" s="99" t="s">
        <v>217</v>
      </c>
    </row>
    <row r="13" ht="27.95" customHeight="1" spans="1:9">
      <c r="A13" s="45">
        <f>Q38/10000</f>
        <v>737.34318</v>
      </c>
      <c r="B13" s="46">
        <f>Q38/(C5*1000)</f>
        <v>1638.5404</v>
      </c>
      <c r="C13" s="46">
        <f>IF(A10=20,Q63/10000,Q64/10000)</f>
        <v>16927.8324865478</v>
      </c>
      <c r="D13" s="46">
        <f>C13/A10</f>
        <v>677.113299461914</v>
      </c>
      <c r="E13" s="46">
        <f>D13*10000/(C5*1000)</f>
        <v>1504.69622102648</v>
      </c>
      <c r="F13" s="47">
        <f ca="1">IF(A10=20,BC35,BC34)</f>
        <v>0.0779579445059739</v>
      </c>
      <c r="G13" s="48">
        <f ca="1">IF(A10=20,BD35,BD34)</f>
        <v>8.54044838072507</v>
      </c>
      <c r="H13" s="47">
        <f ca="1">IF(A10=20,BG35,BG34)</f>
        <v>0.117314448442754</v>
      </c>
      <c r="I13" s="101">
        <f ca="1">IF(A10=20,BH34,BH35)</f>
        <v>61.7481605190522</v>
      </c>
    </row>
    <row r="14" ht="27.95" customHeight="1" spans="1:9">
      <c r="A14" s="49" t="s">
        <v>228</v>
      </c>
      <c r="B14" s="50"/>
      <c r="C14" s="50"/>
      <c r="D14" s="50"/>
      <c r="E14" s="50"/>
      <c r="F14" s="50"/>
      <c r="G14" s="50"/>
      <c r="H14" s="50"/>
      <c r="I14" s="102"/>
    </row>
    <row r="15" ht="27.95" customHeight="1" spans="1:12">
      <c r="A15" s="51" t="s">
        <v>229</v>
      </c>
      <c r="B15" s="52" t="s">
        <v>230</v>
      </c>
      <c r="C15" s="52" t="s">
        <v>231</v>
      </c>
      <c r="D15" s="38" t="s">
        <v>232</v>
      </c>
      <c r="E15" s="38" t="s">
        <v>231</v>
      </c>
      <c r="F15" s="53" t="s">
        <v>233</v>
      </c>
      <c r="G15" s="54" t="s">
        <v>234</v>
      </c>
      <c r="H15" s="52" t="s">
        <v>235</v>
      </c>
      <c r="I15" s="103" t="s">
        <v>236</v>
      </c>
      <c r="L15" s="104"/>
    </row>
    <row r="16" ht="27.95" customHeight="1" spans="1:9">
      <c r="A16" s="36" t="s">
        <v>237</v>
      </c>
      <c r="B16" s="38" t="s">
        <v>238</v>
      </c>
      <c r="C16" s="38" t="s">
        <v>239</v>
      </c>
      <c r="D16" s="38" t="s">
        <v>240</v>
      </c>
      <c r="E16" s="55" t="s">
        <v>241</v>
      </c>
      <c r="F16" s="56"/>
      <c r="G16" s="57" t="s">
        <v>242</v>
      </c>
      <c r="H16" s="38" t="s">
        <v>218</v>
      </c>
      <c r="I16" s="105" t="s">
        <v>243</v>
      </c>
    </row>
    <row r="17" ht="27.95" customHeight="1" spans="1:9">
      <c r="A17" s="58">
        <f>10*C5</f>
        <v>45</v>
      </c>
      <c r="B17" s="59">
        <v>0</v>
      </c>
      <c r="C17" s="59">
        <v>1</v>
      </c>
      <c r="D17" s="59">
        <v>0</v>
      </c>
      <c r="E17" s="59">
        <v>1</v>
      </c>
      <c r="F17" s="60"/>
      <c r="G17" s="61"/>
      <c r="H17" s="62">
        <f>IF(A10=20,AM63/10000,AM64/10000)</f>
        <v>0</v>
      </c>
      <c r="I17" s="106">
        <v>0</v>
      </c>
    </row>
    <row r="18" ht="27.95" customHeight="1" spans="1:9">
      <c r="A18" s="49" t="s">
        <v>244</v>
      </c>
      <c r="B18" s="50"/>
      <c r="C18" s="50"/>
      <c r="D18" s="50"/>
      <c r="E18" s="50"/>
      <c r="F18" s="50"/>
      <c r="G18" s="50"/>
      <c r="H18" s="50"/>
      <c r="I18" s="102"/>
    </row>
    <row r="19" ht="27.95" customHeight="1" spans="1:9">
      <c r="A19" s="51" t="s">
        <v>245</v>
      </c>
      <c r="B19" s="38" t="s">
        <v>246</v>
      </c>
      <c r="C19" s="52" t="s">
        <v>247</v>
      </c>
      <c r="D19" s="38" t="s">
        <v>248</v>
      </c>
      <c r="E19" s="38" t="s">
        <v>249</v>
      </c>
      <c r="F19" s="38" t="s">
        <v>250</v>
      </c>
      <c r="G19" s="63" t="s">
        <v>251</v>
      </c>
      <c r="H19" s="64"/>
      <c r="I19" s="107"/>
    </row>
    <row r="20" ht="27.95" customHeight="1" spans="1:9">
      <c r="A20" s="36" t="s">
        <v>227</v>
      </c>
      <c r="B20" s="38" t="s">
        <v>227</v>
      </c>
      <c r="C20" s="38" t="s">
        <v>221</v>
      </c>
      <c r="D20" s="38" t="s">
        <v>221</v>
      </c>
      <c r="E20" s="38" t="s">
        <v>221</v>
      </c>
      <c r="F20" s="38" t="s">
        <v>221</v>
      </c>
      <c r="G20" s="65"/>
      <c r="H20" s="66"/>
      <c r="I20" s="108"/>
    </row>
    <row r="21" ht="27.95" customHeight="1" spans="1:9">
      <c r="A21" s="58">
        <v>2039</v>
      </c>
      <c r="B21" s="67">
        <f>A21/365</f>
        <v>5.58630136986301</v>
      </c>
      <c r="C21" s="68">
        <v>0.82</v>
      </c>
      <c r="D21" s="68">
        <v>0.02</v>
      </c>
      <c r="E21" s="68">
        <v>0.08</v>
      </c>
      <c r="F21" s="69">
        <f>20%-E21</f>
        <v>0.12</v>
      </c>
      <c r="G21" s="70"/>
      <c r="H21" s="71"/>
      <c r="I21" s="109"/>
    </row>
    <row r="22" ht="27.95" customHeight="1" spans="1:9">
      <c r="A22" s="49" t="s">
        <v>252</v>
      </c>
      <c r="B22" s="50"/>
      <c r="C22" s="50"/>
      <c r="D22" s="50"/>
      <c r="E22" s="50"/>
      <c r="F22" s="50"/>
      <c r="G22" s="50"/>
      <c r="H22" s="50"/>
      <c r="I22" s="102"/>
    </row>
    <row r="23" ht="27.95" customHeight="1" spans="1:9">
      <c r="A23" s="52" t="s">
        <v>253</v>
      </c>
      <c r="B23" s="38" t="s">
        <v>254</v>
      </c>
      <c r="C23" s="38" t="s">
        <v>255</v>
      </c>
      <c r="D23" s="38" t="s">
        <v>256</v>
      </c>
      <c r="E23" s="38" t="s">
        <v>257</v>
      </c>
      <c r="F23" s="38" t="s">
        <v>258</v>
      </c>
      <c r="G23" s="38" t="s">
        <v>259</v>
      </c>
      <c r="H23" s="38" t="s">
        <v>260</v>
      </c>
      <c r="I23" s="99" t="s">
        <v>260</v>
      </c>
    </row>
    <row r="24" ht="27.95" customHeight="1" spans="1:9">
      <c r="A24" s="36" t="s">
        <v>238</v>
      </c>
      <c r="B24" s="38" t="s">
        <v>238</v>
      </c>
      <c r="C24" s="38" t="s">
        <v>238</v>
      </c>
      <c r="D24" s="38" t="s">
        <v>238</v>
      </c>
      <c r="E24" s="38" t="s">
        <v>238</v>
      </c>
      <c r="F24" s="38" t="s">
        <v>238</v>
      </c>
      <c r="G24" s="38" t="s">
        <v>238</v>
      </c>
      <c r="H24" s="38" t="s">
        <v>238</v>
      </c>
      <c r="I24" s="99" t="s">
        <v>238</v>
      </c>
    </row>
    <row r="25" ht="27.95" customHeight="1" spans="1:9">
      <c r="A25" s="58">
        <v>5</v>
      </c>
      <c r="B25" s="59">
        <v>0.1</v>
      </c>
      <c r="C25" s="59">
        <v>0.2</v>
      </c>
      <c r="D25" s="59">
        <v>0.1</v>
      </c>
      <c r="E25" s="67">
        <f>SUM(A25:D25,F25:I25)*C29*0.5*50%</f>
        <v>0.08775</v>
      </c>
      <c r="F25" s="59"/>
      <c r="G25" s="59"/>
      <c r="H25" s="59"/>
      <c r="I25" s="110"/>
    </row>
    <row r="26" ht="27.95" customHeight="1" spans="1:9">
      <c r="A26" s="49" t="s">
        <v>261</v>
      </c>
      <c r="B26" s="50"/>
      <c r="C26" s="50"/>
      <c r="D26" s="50"/>
      <c r="E26" s="50"/>
      <c r="F26" s="50"/>
      <c r="G26" s="50"/>
      <c r="H26" s="50"/>
      <c r="I26" s="102"/>
    </row>
    <row r="27" ht="27.95" customHeight="1" spans="1:9">
      <c r="A27" s="51" t="s">
        <v>262</v>
      </c>
      <c r="B27" s="52" t="s">
        <v>263</v>
      </c>
      <c r="C27" s="52" t="s">
        <v>264</v>
      </c>
      <c r="D27" s="38" t="s">
        <v>265</v>
      </c>
      <c r="E27" s="52" t="s">
        <v>266</v>
      </c>
      <c r="F27" s="52" t="s">
        <v>267</v>
      </c>
      <c r="G27" s="52" t="s">
        <v>15</v>
      </c>
      <c r="H27" s="38" t="s">
        <v>268</v>
      </c>
      <c r="I27" s="99" t="s">
        <v>269</v>
      </c>
    </row>
    <row r="28" ht="27.95" customHeight="1" spans="1:9">
      <c r="A28" s="36" t="s">
        <v>221</v>
      </c>
      <c r="B28" s="38" t="s">
        <v>221</v>
      </c>
      <c r="C28" s="38" t="s">
        <v>221</v>
      </c>
      <c r="D28" s="37"/>
      <c r="E28" s="38" t="s">
        <v>217</v>
      </c>
      <c r="F28" s="38" t="s">
        <v>217</v>
      </c>
      <c r="G28" s="38" t="s">
        <v>221</v>
      </c>
      <c r="H28" s="38" t="s">
        <v>270</v>
      </c>
      <c r="I28" s="99" t="s">
        <v>271</v>
      </c>
    </row>
    <row r="29" ht="27.95" customHeight="1" spans="1:9">
      <c r="A29" s="72">
        <v>0.2</v>
      </c>
      <c r="B29" s="72">
        <v>0.8</v>
      </c>
      <c r="C29" s="72">
        <v>0.065</v>
      </c>
      <c r="D29" s="42"/>
      <c r="E29" s="73">
        <v>15</v>
      </c>
      <c r="F29" s="73">
        <v>20</v>
      </c>
      <c r="G29" s="72">
        <v>0.05</v>
      </c>
      <c r="H29" s="73">
        <v>0</v>
      </c>
      <c r="I29" s="111">
        <v>0.77865</v>
      </c>
    </row>
    <row r="30" ht="27.95" customHeight="1" spans="1:35">
      <c r="A30" s="34" t="s">
        <v>272</v>
      </c>
      <c r="B30" s="35"/>
      <c r="C30" s="35"/>
      <c r="D30" s="35"/>
      <c r="E30" s="35"/>
      <c r="F30" s="35"/>
      <c r="G30" s="35"/>
      <c r="H30" s="35"/>
      <c r="I30" s="92"/>
      <c r="AI30" s="128" t="str">
        <f>IF(AJ69&gt;=8,AM69,IF(AJ69&lt;3,AL69,"不在范围"))</f>
        <v>不在范围</v>
      </c>
    </row>
    <row r="31" ht="27.95" customHeight="1" spans="1:35">
      <c r="A31" s="74" t="s">
        <v>273</v>
      </c>
      <c r="B31" s="52" t="s">
        <v>274</v>
      </c>
      <c r="C31" s="52" t="s">
        <v>275</v>
      </c>
      <c r="D31" s="38" t="s">
        <v>276</v>
      </c>
      <c r="E31" s="38" t="s">
        <v>277</v>
      </c>
      <c r="F31" s="38" t="s">
        <v>278</v>
      </c>
      <c r="G31" s="75" t="s">
        <v>279</v>
      </c>
      <c r="H31" s="52" t="s">
        <v>280</v>
      </c>
      <c r="I31" s="99" t="s">
        <v>260</v>
      </c>
      <c r="AI31" s="129">
        <f>IF(AJ69&gt;=3,IF(AJ69&lt;8,AK69,"不在范围"))</f>
        <v>5</v>
      </c>
    </row>
    <row r="32" ht="27.95" customHeight="1" spans="1:60">
      <c r="A32" s="74"/>
      <c r="B32" s="38" t="s">
        <v>281</v>
      </c>
      <c r="C32" s="38" t="s">
        <v>281</v>
      </c>
      <c r="D32" s="38" t="s">
        <v>281</v>
      </c>
      <c r="E32" s="38" t="s">
        <v>281</v>
      </c>
      <c r="F32" s="38" t="s">
        <v>281</v>
      </c>
      <c r="G32" s="38" t="s">
        <v>221</v>
      </c>
      <c r="H32" s="38" t="s">
        <v>221</v>
      </c>
      <c r="I32" s="112" t="s">
        <v>282</v>
      </c>
      <c r="AD32" s="31"/>
      <c r="AI32" s="130" t="s">
        <v>283</v>
      </c>
      <c r="BB32" s="124"/>
      <c r="BC32" s="136" t="s">
        <v>284</v>
      </c>
      <c r="BD32" s="134"/>
      <c r="BG32" s="124" t="s">
        <v>144</v>
      </c>
      <c r="BH32" s="134"/>
    </row>
    <row r="33" ht="27.95" customHeight="1" spans="1:60">
      <c r="A33" s="76"/>
      <c r="B33" s="77">
        <v>0.227</v>
      </c>
      <c r="C33" s="77">
        <v>0.69</v>
      </c>
      <c r="D33" s="78"/>
      <c r="E33" s="78"/>
      <c r="F33" s="78"/>
      <c r="G33" s="79">
        <v>0.7</v>
      </c>
      <c r="H33" s="79">
        <v>0.85</v>
      </c>
      <c r="I33" s="113"/>
      <c r="AD33" s="31"/>
      <c r="AI33" s="130"/>
      <c r="BB33" s="137"/>
      <c r="BC33" s="138" t="s">
        <v>285</v>
      </c>
      <c r="BD33" s="130" t="s">
        <v>286</v>
      </c>
      <c r="BG33" s="137" t="s">
        <v>225</v>
      </c>
      <c r="BH33" s="130" t="s">
        <v>286</v>
      </c>
    </row>
    <row r="34" ht="27.95" customHeight="1" spans="1:60">
      <c r="A34" s="80" t="s">
        <v>287</v>
      </c>
      <c r="B34" s="81" t="s">
        <v>288</v>
      </c>
      <c r="C34" s="81" t="s">
        <v>289</v>
      </c>
      <c r="D34" s="82" t="s">
        <v>79</v>
      </c>
      <c r="E34" s="82" t="s">
        <v>80</v>
      </c>
      <c r="F34" s="82" t="s">
        <v>81</v>
      </c>
      <c r="G34" s="82" t="s">
        <v>290</v>
      </c>
      <c r="H34" s="82" t="s">
        <v>291</v>
      </c>
      <c r="I34" s="114" t="s">
        <v>260</v>
      </c>
      <c r="AC34" s="124" t="s">
        <v>292</v>
      </c>
      <c r="AD34" s="125">
        <f>SUM($A$25:$I$25)*$C$5*1000000</f>
        <v>24694875</v>
      </c>
      <c r="AI34" s="130"/>
      <c r="BB34" s="137" t="s">
        <v>293</v>
      </c>
      <c r="BC34" s="139">
        <f ca="1">IRR(BB37:BB62)</f>
        <v>0.0779579445059739</v>
      </c>
      <c r="BD34" s="130">
        <f ca="1">COUNTIF(BD38:BD62,"&lt;0")-INDEX(BD37:BD62,COUNTIF(BD37:BD62,"&lt;0"))/INDEX(BB37:BB62,COUNTIF(BD37:BD62,"&lt;0")+1)-1</f>
        <v>8.54044838072507</v>
      </c>
      <c r="BG34" s="146">
        <f ca="1">IRR(BF37:BF62)</f>
        <v>0.117314448442754</v>
      </c>
      <c r="BH34" s="130">
        <f ca="1">COUNTIF(BH37:BH62,"&lt;0")-INDEX(BH37:BH62,COUNTIF(BH37:BH62,"&lt;0"))/INDEX(BF37:BF62,COUNTIF(BH37:BH62,"&lt;0")+1)-1</f>
        <v>61.7481605190522</v>
      </c>
    </row>
    <row r="35" ht="27.95" customHeight="1" spans="1:60">
      <c r="A35" s="74"/>
      <c r="B35" s="38" t="s">
        <v>281</v>
      </c>
      <c r="C35" s="38" t="s">
        <v>281</v>
      </c>
      <c r="D35" s="38" t="s">
        <v>281</v>
      </c>
      <c r="E35" s="38" t="s">
        <v>281</v>
      </c>
      <c r="F35" s="38" t="s">
        <v>281</v>
      </c>
      <c r="G35" s="38" t="s">
        <v>281</v>
      </c>
      <c r="H35" s="38" t="s">
        <v>219</v>
      </c>
      <c r="I35" s="115" t="s">
        <v>294</v>
      </c>
      <c r="AC35" s="126" t="s">
        <v>295</v>
      </c>
      <c r="AD35" s="127">
        <f>AD34*D41</f>
        <v>2469487.5</v>
      </c>
      <c r="AO35" s="30" t="s">
        <v>296</v>
      </c>
      <c r="AQ35" s="124" t="s">
        <v>297</v>
      </c>
      <c r="AR35" s="134" t="s">
        <v>262</v>
      </c>
      <c r="AS35" s="30" t="s">
        <v>296</v>
      </c>
      <c r="AU35" s="30" t="s">
        <v>296</v>
      </c>
      <c r="BB35" s="126" t="s">
        <v>298</v>
      </c>
      <c r="BC35" s="140">
        <f ca="1">IRR(BB37:BB57)</f>
        <v>0.0710072271751798</v>
      </c>
      <c r="BD35" s="127">
        <f ca="1">COUNTIF(BD38:BD57,"&lt;0")-INDEX(BD37:BD57,COUNTIF(BD37:BD57,"&lt;0"))/INDEX(BB37:BB57,COUNTIF(BD37:BD57,"&lt;0")+1)-1</f>
        <v>8.54044838072507</v>
      </c>
      <c r="BG35" s="147">
        <f ca="1">IRR(BF37:BF57)</f>
        <v>0.101264360321244</v>
      </c>
      <c r="BH35" s="127">
        <f ca="1">COUNTIF(BH37:BH57,"&lt;0")-INDEX(BH37:BH57,COUNTIF(BH37:BH57,"&lt;0"))/INDEX(BF37:BF57,COUNTIF(BH37:BH57,"&lt;0")+1)-1</f>
        <v>61.7481605190522</v>
      </c>
    </row>
    <row r="36" ht="27.95" customHeight="1" spans="1:60">
      <c r="A36" s="74"/>
      <c r="B36" s="39">
        <v>0.227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116"/>
      <c r="R36" s="31"/>
      <c r="AB36" s="30">
        <v>1</v>
      </c>
      <c r="AE36" s="30" t="s">
        <v>296</v>
      </c>
      <c r="AQ36" s="126">
        <f>AD34*B29</f>
        <v>19755900</v>
      </c>
      <c r="AR36" s="127">
        <f>AD34*A29</f>
        <v>4938975</v>
      </c>
      <c r="BB36" s="117" t="s">
        <v>152</v>
      </c>
      <c r="BC36" s="117" t="s">
        <v>299</v>
      </c>
      <c r="BD36" s="117" t="s">
        <v>157</v>
      </c>
      <c r="BE36" s="117" t="s">
        <v>300</v>
      </c>
      <c r="BF36" s="117" t="s">
        <v>163</v>
      </c>
      <c r="BG36" s="117"/>
      <c r="BH36" s="117" t="s">
        <v>301</v>
      </c>
    </row>
    <row r="37" ht="27.95" customHeight="1" spans="1:60">
      <c r="A37" s="74"/>
      <c r="B37" s="38" t="s">
        <v>302</v>
      </c>
      <c r="C37" s="38" t="s">
        <v>302</v>
      </c>
      <c r="D37" s="38" t="s">
        <v>302</v>
      </c>
      <c r="E37" s="38" t="s">
        <v>302</v>
      </c>
      <c r="F37" s="38" t="s">
        <v>302</v>
      </c>
      <c r="G37" s="38" t="s">
        <v>302</v>
      </c>
      <c r="H37" s="38" t="s">
        <v>303</v>
      </c>
      <c r="I37" s="116"/>
      <c r="P37" s="117" t="s">
        <v>304</v>
      </c>
      <c r="Q37" s="117" t="s">
        <v>172</v>
      </c>
      <c r="R37" s="117" t="s">
        <v>305</v>
      </c>
      <c r="S37" s="117" t="s">
        <v>306</v>
      </c>
      <c r="T37" s="117" t="s">
        <v>307</v>
      </c>
      <c r="U37" s="117" t="s">
        <v>308</v>
      </c>
      <c r="V37" s="117" t="s">
        <v>79</v>
      </c>
      <c r="W37" s="117" t="s">
        <v>80</v>
      </c>
      <c r="X37" s="117" t="s">
        <v>81</v>
      </c>
      <c r="Y37" s="117" t="s">
        <v>290</v>
      </c>
      <c r="Z37" s="117" t="s">
        <v>309</v>
      </c>
      <c r="AA37" s="117" t="s">
        <v>291</v>
      </c>
      <c r="AB37" s="117" t="s">
        <v>310</v>
      </c>
      <c r="AC37" s="117" t="s">
        <v>311</v>
      </c>
      <c r="AD37" s="117" t="s">
        <v>114</v>
      </c>
      <c r="AE37" s="117" t="s">
        <v>312</v>
      </c>
      <c r="AF37" s="117" t="s">
        <v>313</v>
      </c>
      <c r="AG37" s="117" t="s">
        <v>314</v>
      </c>
      <c r="AH37" s="117"/>
      <c r="AI37" s="117" t="s">
        <v>315</v>
      </c>
      <c r="AJ37" s="131" t="s">
        <v>33</v>
      </c>
      <c r="AK37" s="131" t="s">
        <v>34</v>
      </c>
      <c r="AL37" s="132"/>
      <c r="AM37" s="133" t="s">
        <v>316</v>
      </c>
      <c r="AN37" s="117" t="s">
        <v>115</v>
      </c>
      <c r="AO37" s="117" t="s">
        <v>317</v>
      </c>
      <c r="AP37" s="135" t="s">
        <v>137</v>
      </c>
      <c r="AQ37" s="117" t="s">
        <v>318</v>
      </c>
      <c r="AR37" s="117" t="s">
        <v>319</v>
      </c>
      <c r="AS37" s="117" t="s">
        <v>320</v>
      </c>
      <c r="AT37" s="117" t="s">
        <v>141</v>
      </c>
      <c r="AU37" s="117" t="s">
        <v>321</v>
      </c>
      <c r="AV37" s="135" t="s">
        <v>143</v>
      </c>
      <c r="AW37" s="117" t="s">
        <v>144</v>
      </c>
      <c r="AX37" s="117" t="s">
        <v>322</v>
      </c>
      <c r="AY37" s="117" t="s">
        <v>145</v>
      </c>
      <c r="AZ37" s="117" t="s">
        <v>146</v>
      </c>
      <c r="BA37" s="117" t="s">
        <v>148</v>
      </c>
      <c r="BB37" s="30">
        <f>-AD34</f>
        <v>-24694875</v>
      </c>
      <c r="BD37" s="30">
        <f>BB37</f>
        <v>-24694875</v>
      </c>
      <c r="BF37" s="30">
        <f>-AD34*A29</f>
        <v>-4938975</v>
      </c>
      <c r="BH37" s="30">
        <f>BF37</f>
        <v>-4938975</v>
      </c>
    </row>
    <row r="38" ht="27.95" customHeight="1" spans="1:60">
      <c r="A38" s="83"/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118"/>
      <c r="N38" s="119"/>
      <c r="P38" s="30">
        <v>1</v>
      </c>
      <c r="Q38" s="30">
        <f>$C$5*1000*$A$21*$C$21*(1-$D$21)</f>
        <v>7373431.8</v>
      </c>
      <c r="R38" s="31">
        <f>IF(T38=0,IF(P38-1&lt;$C$38,Q38*$B$36,Q38*$B$33),0)</f>
        <v>0</v>
      </c>
      <c r="S38" s="30">
        <f t="shared" ref="S38:S62" si="0">IF(T38=0,0,Q38*$B$33*(1-$G$33))</f>
        <v>502130.70558</v>
      </c>
      <c r="T38" s="30">
        <f t="shared" ref="T38:T62" si="1">Q38*$G$33*$C$33*$H$33</f>
        <v>3027162.42549</v>
      </c>
      <c r="U38" s="30">
        <f t="shared" ref="U38:U62" si="2">IF(T38=0,0,IF(P38-1&lt;$C$38,Q38*$C$36,0))</f>
        <v>0</v>
      </c>
      <c r="V38" s="30">
        <f t="shared" ref="V38:V62" si="3">IF(P38-1&lt;$D$38,Q38*$D$36,0)</f>
        <v>0</v>
      </c>
      <c r="W38" s="30">
        <f t="shared" ref="W38:W62" si="4">IF(P38-1&lt;$E$38,Q38*$E$36,0)</f>
        <v>0</v>
      </c>
      <c r="X38" s="30">
        <f t="shared" ref="X38:X62" si="5">IF(P38-1&lt;$F$38,Q38*$F$36,0)</f>
        <v>0</v>
      </c>
      <c r="Y38" s="30">
        <f t="shared" ref="Y38:Y62" si="6">IF(P38-1&lt;$G$38,Q38*$G$36,0)</f>
        <v>0</v>
      </c>
      <c r="Z38" s="30">
        <f t="shared" ref="Z38:Z62" si="7">Q38/1000*$I$29*$H$29</f>
        <v>0</v>
      </c>
      <c r="AA38" s="30">
        <f t="shared" ref="AA38:AA62" si="8">IF(P38=$H$38,$C$5*1000000*$H$36,0)</f>
        <v>0</v>
      </c>
      <c r="AB38" s="30">
        <f>SUM(R38:AA38)</f>
        <v>3529293.13107</v>
      </c>
      <c r="AC38" s="30">
        <f t="shared" ref="AC38:AC62" si="9">IF(P38&lt;=$H$43,((AB38/(1+$A$41))*$A$41),(AB38/(1+$A$41))*$A$41)</f>
        <v>291409.524583761</v>
      </c>
      <c r="AD38" s="30">
        <f>IF(SUM($AC$38:AC38)&lt;$AD$35,IF(SUM($AC$38:AC38)&gt;$AD$35,$AD$35-SUM($AC$38:AC38),AC38),IF(SUM($AC37:AC$38)&lt;$AD$35,IF(SUM($AC$38:AC38)&gt;$AD$35,$AD$35-SUM($AC37:AC$38)),0))</f>
        <v>291409.524583761</v>
      </c>
      <c r="AE38" s="30">
        <f>AB38-AC38</f>
        <v>3237883.60648624</v>
      </c>
      <c r="AF38" s="30">
        <f t="shared" ref="AF38:AF62" si="10">IF(P38&lt;=$H$43,IF(AD38&gt;0,IF(AD39&gt;0,AC38-AD38,(AC38-AD38)/2),(AC38-AD38)/2),AC38-AD38)</f>
        <v>0</v>
      </c>
      <c r="AG38" s="30">
        <f>AC38-AF38</f>
        <v>291409.524583761</v>
      </c>
      <c r="AH38" s="30">
        <f>$A$17*$B$17*25/(25/$C$17)</f>
        <v>0</v>
      </c>
      <c r="AI38" s="30">
        <f>(AD34-AD35)*$E$41</f>
        <v>6667.61625</v>
      </c>
      <c r="AJ38" s="30">
        <f>VLOOKUP(AK71,运维成本!A2:H34,7,FALSE)-AI38</f>
        <v>105332.38375</v>
      </c>
      <c r="AK38" s="30">
        <f>VLOOKUP(AK71,运维成本!A2:H34,8,FALSE)</f>
        <v>448000</v>
      </c>
      <c r="AL38" s="30">
        <f>$D$17*25/(25/$E$17)</f>
        <v>0</v>
      </c>
      <c r="AM38" s="30">
        <f>AE38*$I$17</f>
        <v>0</v>
      </c>
      <c r="AN38" s="30">
        <f t="shared" ref="AN38:AN62" si="11">(AC38-AD38)*$B$41</f>
        <v>0</v>
      </c>
      <c r="AO38" s="30">
        <f t="shared" ref="AO38:AO62" si="12">AE38-SUM(AH38:AN38)</f>
        <v>2677883.60648624</v>
      </c>
      <c r="AP38" s="30">
        <f>IF(P38&lt;=$F$29,AD34*(1-$G$29)*(1-$D$41)/$F$29,0)</f>
        <v>1055705.90625</v>
      </c>
      <c r="AQ38" s="30">
        <f t="shared" ref="AQ38:AQ62" si="13">IF(P38&lt;=$E$29,-PPMT($C$29,P38,$E$29,$AQ$36),0)</f>
        <v>816961.444979478</v>
      </c>
      <c r="AR38" s="30">
        <f>AQ36*C29</f>
        <v>1284133.5</v>
      </c>
      <c r="AS38" s="30">
        <f>AO38-SUM(AP38,AR38)</f>
        <v>338044.200236239</v>
      </c>
      <c r="AT38" s="30">
        <f>IF(P38&lt;=$I$43/2,0,MAX(0,(AS38+AG38)*$C$41))</f>
        <v>0</v>
      </c>
      <c r="AU38" s="30">
        <f>AS38+AG38-AT38</f>
        <v>629453.72482</v>
      </c>
      <c r="AV38" s="30">
        <f>AD34</f>
        <v>24694875</v>
      </c>
      <c r="AW38" s="30">
        <f>AV38*$A$29</f>
        <v>4938975</v>
      </c>
      <c r="AX38" s="141">
        <f>AU38/AE38</f>
        <v>0.194402826450913</v>
      </c>
      <c r="AY38" s="141">
        <f>AU38/AV38</f>
        <v>0.0254892452308425</v>
      </c>
      <c r="AZ38" s="141">
        <f>AU38/$AR$36</f>
        <v>0.127446226154212</v>
      </c>
      <c r="BA38" s="31">
        <f>(SUM(AH38:AN38)+AP38+AR38+AT38)/Q38</f>
        <v>0.393282190017679</v>
      </c>
      <c r="BB38" s="30">
        <f>AO38-BE38+AG38</f>
        <v>2969293.13107</v>
      </c>
      <c r="BC38" s="30">
        <f ca="1" t="shared" ref="BC38:BC62" si="14">BB38/((1+$BC$34)^P38)</f>
        <v>2754553.78032472</v>
      </c>
      <c r="BD38" s="30">
        <f>$BB$37+SUM($BB$38:BB38)</f>
        <v>-21725581.86893</v>
      </c>
      <c r="BE38" s="30">
        <f>IF(P38&lt;=$I$43/2,0,MAX(0,(AO38-AP38)*$C$41))</f>
        <v>0</v>
      </c>
      <c r="BF38" s="30">
        <f>AO38-AR38-AT38-AQ38+AG38</f>
        <v>868198.186090522</v>
      </c>
      <c r="BH38" s="30">
        <f>$BF$37+SUM($BF$38:BF38)</f>
        <v>-4070776.81390948</v>
      </c>
    </row>
    <row r="39" ht="27.95" customHeight="1" spans="1:60">
      <c r="A39" s="34" t="s">
        <v>323</v>
      </c>
      <c r="B39" s="35"/>
      <c r="C39" s="35"/>
      <c r="D39" s="35"/>
      <c r="E39" s="35"/>
      <c r="F39" s="35"/>
      <c r="G39" s="35"/>
      <c r="H39" s="35"/>
      <c r="I39" s="92"/>
      <c r="N39" s="119"/>
      <c r="P39" s="30">
        <v>2</v>
      </c>
      <c r="Q39" s="30">
        <f>Q38*(1-($E$21-$D$21)/9)</f>
        <v>7324275.588</v>
      </c>
      <c r="R39" s="31">
        <f t="shared" ref="R39:R62" si="15">IF(T39=0,IF(P39-1&lt;$C$38,Q39*$B$36,Q39*$B$33),0)</f>
        <v>0</v>
      </c>
      <c r="S39" s="30">
        <f t="shared" si="0"/>
        <v>498783.1675428</v>
      </c>
      <c r="T39" s="30">
        <f t="shared" si="1"/>
        <v>3006981.3426534</v>
      </c>
      <c r="U39" s="30">
        <f t="shared" si="2"/>
        <v>0</v>
      </c>
      <c r="V39" s="30">
        <f t="shared" si="3"/>
        <v>0</v>
      </c>
      <c r="W39" s="30">
        <f t="shared" si="4"/>
        <v>0</v>
      </c>
      <c r="X39" s="30">
        <f t="shared" si="5"/>
        <v>0</v>
      </c>
      <c r="Y39" s="30">
        <f t="shared" si="6"/>
        <v>0</v>
      </c>
      <c r="Z39" s="30">
        <f t="shared" si="7"/>
        <v>0</v>
      </c>
      <c r="AA39" s="30">
        <f t="shared" si="8"/>
        <v>0</v>
      </c>
      <c r="AB39" s="30">
        <f t="shared" ref="AB39:AB62" si="16">SUM(R39:AA39)</f>
        <v>3505764.5101962</v>
      </c>
      <c r="AC39" s="30">
        <f t="shared" si="9"/>
        <v>289466.79441987</v>
      </c>
      <c r="AD39" s="30">
        <f>IF(SUM($AC$38:AC39)&lt;$AD$35,IF(SUM($AC$38:AC39)&gt;$AD$35,$AD$35-SUM($AC$38:AC39),AC39),IF(SUM($AC38:AC$38)&lt;$AD$35,IF(SUM($AC$38:AC39)&gt;$AD$35,$AD$35-SUM($AC38:AC$38)),0))</f>
        <v>289466.79441987</v>
      </c>
      <c r="AE39" s="30">
        <f t="shared" ref="AE39:AE62" si="17">AB39-AC39</f>
        <v>3216297.71577633</v>
      </c>
      <c r="AF39" s="30">
        <f t="shared" si="10"/>
        <v>0</v>
      </c>
      <c r="AG39" s="30">
        <f t="shared" ref="AG39:AG62" si="18">AC39-AF39</f>
        <v>289466.79441987</v>
      </c>
      <c r="AH39" s="30">
        <f ca="1">IF(OFFSET(AH38,-$C$17+1,0,1,1)&gt;0,IF((($A$17*$B$17*25)-SUM($AH$38:AH38))&gt;$AH$38,OFFSET(AH38,-$C$17+1,0,1,1),($A$17*$B$17*25)-SUM($AH$38:AH38)),0)</f>
        <v>0</v>
      </c>
      <c r="AI39" s="30">
        <f t="shared" ref="AI39:AI62" si="19">AI38*(1+$E$41)</f>
        <v>6669.616534875</v>
      </c>
      <c r="AJ39" s="30">
        <f>AJ38</f>
        <v>105332.38375</v>
      </c>
      <c r="AK39" s="30">
        <f>AK38*(1+$F$41)</f>
        <v>463680</v>
      </c>
      <c r="AL39" s="30">
        <f ca="1">IF(OFFSET(AL38,-$E$17+1,0,1,1)&gt;0,IF((($D$17*25)-SUM($AL$38:AL38))&gt;$AL$38,OFFSET(AL38,-$E$17+1,0,1,1),($D$17*25)-SUM($AL$38:AL38)),0)</f>
        <v>0</v>
      </c>
      <c r="AM39" s="30">
        <f t="shared" ref="AM39:AM62" si="20">AE39*$I$17</f>
        <v>0</v>
      </c>
      <c r="AN39" s="30">
        <f t="shared" si="11"/>
        <v>0</v>
      </c>
      <c r="AO39" s="30">
        <f ca="1" t="shared" si="12"/>
        <v>2640615.71549145</v>
      </c>
      <c r="AP39" s="30">
        <f t="shared" ref="AP39:AP57" si="21">IF(P39&lt;=$F$29,AP38,0)</f>
        <v>1055705.90625</v>
      </c>
      <c r="AQ39" s="30">
        <f t="shared" si="13"/>
        <v>870063.938903144</v>
      </c>
      <c r="AR39" s="30">
        <f>IF(AQ39=0,0,($AQ$36-SUM($AQ$38:AQ38))*$C$29)</f>
        <v>1231031.00607633</v>
      </c>
      <c r="AS39" s="30">
        <f ca="1" t="shared" ref="AS39:AS62" si="22">AO39-SUM(AP39,AR39)</f>
        <v>353878.803165121</v>
      </c>
      <c r="AT39" s="30">
        <f ca="1" t="shared" ref="AT39:AT62" si="23">IF(P39&lt;=$I$43/2,0,MAX(0,(AS39+AG39)*$C$41))</f>
        <v>0</v>
      </c>
      <c r="AU39" s="30">
        <f ca="1" t="shared" ref="AU39:AU62" si="24">AS39+AG39-AT39</f>
        <v>643345.597584991</v>
      </c>
      <c r="AV39" s="30">
        <f>IF(AP39=0,0,AV38-AP38)</f>
        <v>23639169.09375</v>
      </c>
      <c r="AW39" s="30">
        <f t="shared" ref="AW39:AW62" si="25">AV39*$A$29</f>
        <v>4727833.81875</v>
      </c>
      <c r="AX39" s="141">
        <f ca="1" t="shared" ref="AX39:AX64" si="26">AU39/AB39</f>
        <v>0.183510785083789</v>
      </c>
      <c r="AY39" s="141">
        <f ca="1" t="shared" ref="AY39:AY62" si="27">AU39/AV39</f>
        <v>0.027215237347538</v>
      </c>
      <c r="AZ39" s="141">
        <f ca="1" t="shared" ref="AZ39:AZ62" si="28">AU39/$AR$36</f>
        <v>0.130258929754654</v>
      </c>
      <c r="BA39" s="31">
        <f ca="1" t="shared" ref="BA39:BA62" si="29">(SUM(AH39:AN39)+AP39+AR39+AT39)/Q39</f>
        <v>0.390812562719644</v>
      </c>
      <c r="BB39" s="30">
        <f ca="1" t="shared" ref="BB39:BB62" si="30">AO39-BE39+AG39</f>
        <v>2930082.50991132</v>
      </c>
      <c r="BC39" s="30">
        <f ca="1" t="shared" si="14"/>
        <v>2521600.11073368</v>
      </c>
      <c r="BD39" s="30">
        <f ca="1">$BB$37+SUM($BB$38:BB39)</f>
        <v>-18795499.3590187</v>
      </c>
      <c r="BE39" s="30">
        <f ca="1">IF(P39&lt;=$I$43/2,0,MAX(0,(AO39-AP39)*$C$41))</f>
        <v>0</v>
      </c>
      <c r="BF39" s="30">
        <f ca="1">AO39-AR39-AT39-AQ39+AG39</f>
        <v>828987.564931846</v>
      </c>
      <c r="BH39" s="30">
        <f ca="1">$BF$37+SUM($BF$38:BF39)</f>
        <v>-3241789.24897763</v>
      </c>
    </row>
    <row r="40" ht="27.95" customHeight="1" spans="1:60">
      <c r="A40" s="36" t="s">
        <v>324</v>
      </c>
      <c r="B40" s="38" t="s">
        <v>325</v>
      </c>
      <c r="C40" s="38" t="s">
        <v>141</v>
      </c>
      <c r="D40" s="38" t="s">
        <v>326</v>
      </c>
      <c r="E40" s="38" t="s">
        <v>327</v>
      </c>
      <c r="F40" s="38" t="s">
        <v>328</v>
      </c>
      <c r="G40" s="41" t="s">
        <v>329</v>
      </c>
      <c r="H40" s="38" t="s">
        <v>330</v>
      </c>
      <c r="I40" s="99" t="s">
        <v>331</v>
      </c>
      <c r="N40" s="119"/>
      <c r="P40" s="30">
        <v>3</v>
      </c>
      <c r="Q40" s="30">
        <f t="shared" ref="Q40:Q47" si="31">Q39*(1-($E$21-$D$21)/9)</f>
        <v>7275447.08408</v>
      </c>
      <c r="R40" s="31">
        <f t="shared" si="15"/>
        <v>0</v>
      </c>
      <c r="S40" s="30">
        <f t="shared" si="0"/>
        <v>495457.946425848</v>
      </c>
      <c r="T40" s="30">
        <f t="shared" si="1"/>
        <v>2986934.80036904</v>
      </c>
      <c r="U40" s="30">
        <f t="shared" si="2"/>
        <v>0</v>
      </c>
      <c r="V40" s="30">
        <f t="shared" si="3"/>
        <v>0</v>
      </c>
      <c r="W40" s="30">
        <f t="shared" si="4"/>
        <v>0</v>
      </c>
      <c r="X40" s="30">
        <f t="shared" si="5"/>
        <v>0</v>
      </c>
      <c r="Y40" s="30">
        <f t="shared" si="6"/>
        <v>0</v>
      </c>
      <c r="Z40" s="30">
        <f t="shared" si="7"/>
        <v>0</v>
      </c>
      <c r="AA40" s="30">
        <f t="shared" si="8"/>
        <v>0</v>
      </c>
      <c r="AB40" s="30">
        <f t="shared" si="16"/>
        <v>3482392.74679489</v>
      </c>
      <c r="AC40" s="30">
        <f t="shared" si="9"/>
        <v>287537.015790404</v>
      </c>
      <c r="AD40" s="30">
        <f>IF(SUM($AC$38:AC40)&lt;$AD$35,IF(SUM($AC$38:AC40)&gt;$AD$35,$AD$35-SUM($AC$38:AC40),AC40),IF(SUM($AC$38:AC39)&lt;$AD$35,IF(SUM($AC$38:AC40)&gt;$AD$35,$AD$35-SUM($AC$38:AC39)),0))</f>
        <v>287537.015790404</v>
      </c>
      <c r="AE40" s="30">
        <f t="shared" si="17"/>
        <v>3194855.73100449</v>
      </c>
      <c r="AF40" s="30">
        <f t="shared" si="10"/>
        <v>0</v>
      </c>
      <c r="AG40" s="30">
        <f t="shared" si="18"/>
        <v>287537.015790404</v>
      </c>
      <c r="AH40" s="30">
        <f ca="1">IF(OFFSET(AH39,-$C$17+1,0,1,1)&gt;0,IF((($A$17*$B$17*25)-SUM($AH$38:AH39))&gt;$AH$38,OFFSET(AH39,-$C$17+1,0,1,1),($A$17*$B$17*25)-SUM($AH$38:AH39)),0)</f>
        <v>0</v>
      </c>
      <c r="AI40" s="30">
        <f t="shared" si="19"/>
        <v>6671.61741983546</v>
      </c>
      <c r="AJ40" s="30">
        <f t="shared" ref="AJ40:AJ62" si="32">AJ39</f>
        <v>105332.38375</v>
      </c>
      <c r="AK40" s="30">
        <f t="shared" ref="AK40:AK62" si="33">AK39*(1+$F$41)</f>
        <v>479908.8</v>
      </c>
      <c r="AL40" s="30">
        <f ca="1">IF(OFFSET(AL39,-$E$17+1,0,1,1)&gt;0,IF((($D$17*25)-SUM($AL$38:AL39))&gt;$AL$38,OFFSET(AL39,-$E$17+1,0,1,1),($D$17*25)-SUM($AL$38:AL39)),0)</f>
        <v>0</v>
      </c>
      <c r="AM40" s="30">
        <f t="shared" si="20"/>
        <v>0</v>
      </c>
      <c r="AN40" s="30">
        <f t="shared" si="11"/>
        <v>0</v>
      </c>
      <c r="AO40" s="30">
        <f ca="1" t="shared" si="12"/>
        <v>2602942.92983465</v>
      </c>
      <c r="AP40" s="30">
        <f t="shared" si="21"/>
        <v>1055705.90625</v>
      </c>
      <c r="AQ40" s="30">
        <f t="shared" si="13"/>
        <v>926618.094931849</v>
      </c>
      <c r="AR40" s="30">
        <f>IF(AQ40=0,0,($AQ$36-SUM($AQ$38:AQ39))*$C$29)</f>
        <v>1174476.85004763</v>
      </c>
      <c r="AS40" s="30">
        <f ca="1" t="shared" si="22"/>
        <v>372760.173537023</v>
      </c>
      <c r="AT40" s="30">
        <f ca="1" t="shared" si="23"/>
        <v>0</v>
      </c>
      <c r="AU40" s="30">
        <f ca="1" t="shared" si="24"/>
        <v>660297.189327427</v>
      </c>
      <c r="AV40" s="30">
        <f t="shared" ref="AV40:AV62" si="34">IF(AP40=0,0,AV39-AP39)</f>
        <v>22583463.1875</v>
      </c>
      <c r="AW40" s="30">
        <f t="shared" si="25"/>
        <v>4516692.6375</v>
      </c>
      <c r="AX40" s="141">
        <f ca="1" t="shared" si="26"/>
        <v>0.189610201185707</v>
      </c>
      <c r="AY40" s="141">
        <f ca="1" t="shared" si="27"/>
        <v>0.0292380838069558</v>
      </c>
      <c r="AZ40" s="141">
        <f ca="1" t="shared" si="28"/>
        <v>0.133691138207306</v>
      </c>
      <c r="BA40" s="31">
        <f ca="1" t="shared" si="29"/>
        <v>0.387893077202461</v>
      </c>
      <c r="BB40" s="30">
        <f ca="1" t="shared" si="30"/>
        <v>2890479.94562506</v>
      </c>
      <c r="BC40" s="30">
        <f ca="1" t="shared" si="14"/>
        <v>2307621.13416265</v>
      </c>
      <c r="BD40" s="30">
        <f ca="1">$BB$37+SUM($BB$38:BB40)</f>
        <v>-15905019.4133936</v>
      </c>
      <c r="BE40" s="30">
        <f ca="1">IF(P40&lt;=$I$43/2,0,MAX(0,(AO40-AP40)*$C$41))</f>
        <v>0</v>
      </c>
      <c r="BF40" s="30">
        <f ca="1" t="shared" ref="BF40:BF62" si="35">AO40-AR40-AT40-AQ40+AG40</f>
        <v>789385.000645578</v>
      </c>
      <c r="BH40" s="30">
        <f ca="1">$BF$37+SUM($BF$38:BF40)</f>
        <v>-2452404.24833205</v>
      </c>
    </row>
    <row r="41" ht="27.95" customHeight="1" spans="1:60">
      <c r="A41" s="84">
        <v>0.09</v>
      </c>
      <c r="B41" s="85">
        <v>0.1</v>
      </c>
      <c r="C41" s="85">
        <v>0.25</v>
      </c>
      <c r="D41" s="85">
        <v>0.1</v>
      </c>
      <c r="E41" s="85">
        <v>0.0003</v>
      </c>
      <c r="F41" s="85">
        <v>0.035</v>
      </c>
      <c r="G41" s="86"/>
      <c r="H41" s="38" t="s">
        <v>332</v>
      </c>
      <c r="I41" s="99" t="s">
        <v>332</v>
      </c>
      <c r="N41" s="119"/>
      <c r="P41" s="30">
        <v>4</v>
      </c>
      <c r="Q41" s="30">
        <f t="shared" si="31"/>
        <v>7226944.10351947</v>
      </c>
      <c r="R41" s="31">
        <f t="shared" si="15"/>
        <v>0</v>
      </c>
      <c r="S41" s="30">
        <f t="shared" si="0"/>
        <v>492154.893449676</v>
      </c>
      <c r="T41" s="30">
        <f t="shared" si="1"/>
        <v>2967021.90169992</v>
      </c>
      <c r="U41" s="30">
        <f t="shared" si="2"/>
        <v>0</v>
      </c>
      <c r="V41" s="30">
        <f t="shared" si="3"/>
        <v>0</v>
      </c>
      <c r="W41" s="30">
        <f t="shared" si="4"/>
        <v>0</v>
      </c>
      <c r="X41" s="30">
        <f t="shared" si="5"/>
        <v>0</v>
      </c>
      <c r="Y41" s="30">
        <f t="shared" si="6"/>
        <v>0</v>
      </c>
      <c r="Z41" s="30">
        <f t="shared" si="7"/>
        <v>0</v>
      </c>
      <c r="AA41" s="30">
        <f t="shared" si="8"/>
        <v>0</v>
      </c>
      <c r="AB41" s="30">
        <f t="shared" si="16"/>
        <v>3459176.79514959</v>
      </c>
      <c r="AC41" s="30">
        <f t="shared" si="9"/>
        <v>285620.102351801</v>
      </c>
      <c r="AD41" s="30">
        <f>IF(SUM($AC$38:AC41)&lt;$AD$35,IF(SUM($AC$38:AC41)&gt;$AD$35,$AD$35-SUM($AC$38:AC41),AC41),IF(SUM($AC$38:AC40)&lt;$AD$35,IF(SUM($AC$38:AC41)&gt;$AD$35,$AD$35-SUM($AC$38:AC40)),0))</f>
        <v>285620.102351801</v>
      </c>
      <c r="AE41" s="30">
        <f t="shared" si="17"/>
        <v>3173556.69279779</v>
      </c>
      <c r="AF41" s="30">
        <f t="shared" si="10"/>
        <v>0</v>
      </c>
      <c r="AG41" s="30">
        <f t="shared" si="18"/>
        <v>285620.102351801</v>
      </c>
      <c r="AH41" s="30">
        <f ca="1">IF(OFFSET(AH40,-$C$17+1,0,1,1)&gt;0,IF((($A$17*$B$17*25)-SUM($AH$38:AH40))&gt;$AH$38,OFFSET(AH40,-$C$17+1,0,1,1),($A$17*$B$17*25)-SUM($AH$38:AH40)),0)</f>
        <v>0</v>
      </c>
      <c r="AI41" s="30">
        <f t="shared" si="19"/>
        <v>6673.61890506141</v>
      </c>
      <c r="AJ41" s="30">
        <f t="shared" si="32"/>
        <v>105332.38375</v>
      </c>
      <c r="AK41" s="30">
        <f t="shared" si="33"/>
        <v>496705.608</v>
      </c>
      <c r="AL41" s="30">
        <f ca="1">IF(OFFSET(AL40,-$E$17+1,0,1,1)&gt;0,IF((($D$17*25)-SUM($AL$38:AL40))&gt;$AL$38,OFFSET(AL40,-$E$17+1,0,1,1),($D$17*25)-SUM($AL$38:AL40)),0)</f>
        <v>0</v>
      </c>
      <c r="AM41" s="30">
        <f t="shared" si="20"/>
        <v>0</v>
      </c>
      <c r="AN41" s="30">
        <f t="shared" si="11"/>
        <v>0</v>
      </c>
      <c r="AO41" s="30">
        <f ca="1" t="shared" si="12"/>
        <v>2564845.08214273</v>
      </c>
      <c r="AP41" s="30">
        <f t="shared" si="21"/>
        <v>1055705.90625</v>
      </c>
      <c r="AQ41" s="30">
        <f t="shared" si="13"/>
        <v>986848.271102419</v>
      </c>
      <c r="AR41" s="30">
        <f>IF(AQ41=0,0,($AQ$36-SUM($AQ$38:AQ40))*$C$29)</f>
        <v>1114246.67387706</v>
      </c>
      <c r="AS41" s="30">
        <f ca="1" t="shared" si="22"/>
        <v>394892.502015671</v>
      </c>
      <c r="AT41" s="30">
        <f ca="1" t="shared" si="23"/>
        <v>170128.151091868</v>
      </c>
      <c r="AU41" s="30">
        <f ca="1" t="shared" si="24"/>
        <v>510384.453275604</v>
      </c>
      <c r="AV41" s="30">
        <f t="shared" si="34"/>
        <v>21527757.28125</v>
      </c>
      <c r="AW41" s="30">
        <f t="shared" si="25"/>
        <v>4305551.45625</v>
      </c>
      <c r="AX41" s="141">
        <f ca="1" t="shared" si="26"/>
        <v>0.147545061585536</v>
      </c>
      <c r="AY41" s="141">
        <f ca="1" t="shared" si="27"/>
        <v>0.0237082036278871</v>
      </c>
      <c r="AZ41" s="141">
        <f ca="1" t="shared" si="28"/>
        <v>0.103338132563053</v>
      </c>
      <c r="BA41" s="31">
        <f ca="1" t="shared" si="29"/>
        <v>0.408027556272083</v>
      </c>
      <c r="BB41" s="30">
        <f ca="1" t="shared" si="30"/>
        <v>2661822.78750794</v>
      </c>
      <c r="BC41" s="30">
        <f ca="1" t="shared" si="14"/>
        <v>1971386.90894417</v>
      </c>
      <c r="BD41" s="30">
        <f ca="1">$BB$37+SUM($BB$38:BB41)</f>
        <v>-13243196.6258857</v>
      </c>
      <c r="BE41" s="30">
        <f ca="1">IF(P41&lt;=$I$43,MAX(0,(AO41-AP41)*$C$41)/2,MAX(0,(AO41-AP41)*$C$41))</f>
        <v>188642.396986591</v>
      </c>
      <c r="BF41" s="30">
        <f ca="1" t="shared" si="35"/>
        <v>579242.088423185</v>
      </c>
      <c r="BH41" s="30">
        <f ca="1">$BF$37+SUM($BF$38:BF41)</f>
        <v>-1873162.15990887</v>
      </c>
    </row>
    <row r="42" ht="27.95" customHeight="1" spans="1:60">
      <c r="A42" s="87"/>
      <c r="B42" s="37"/>
      <c r="C42" s="37"/>
      <c r="D42" s="37"/>
      <c r="E42" s="37"/>
      <c r="F42" s="37"/>
      <c r="G42" s="86"/>
      <c r="H42" s="38" t="s">
        <v>333</v>
      </c>
      <c r="I42" s="99" t="s">
        <v>333</v>
      </c>
      <c r="N42" s="119"/>
      <c r="P42" s="30">
        <v>5</v>
      </c>
      <c r="Q42" s="30">
        <f t="shared" si="31"/>
        <v>7178764.47616267</v>
      </c>
      <c r="R42" s="31">
        <f t="shared" si="15"/>
        <v>0</v>
      </c>
      <c r="S42" s="30">
        <f t="shared" si="0"/>
        <v>488873.860826678</v>
      </c>
      <c r="T42" s="30">
        <f t="shared" si="1"/>
        <v>2947241.75568858</v>
      </c>
      <c r="U42" s="30">
        <f t="shared" si="2"/>
        <v>0</v>
      </c>
      <c r="V42" s="30">
        <f t="shared" si="3"/>
        <v>0</v>
      </c>
      <c r="W42" s="30">
        <f t="shared" si="4"/>
        <v>0</v>
      </c>
      <c r="X42" s="30">
        <f t="shared" si="5"/>
        <v>0</v>
      </c>
      <c r="Y42" s="30">
        <f t="shared" si="6"/>
        <v>0</v>
      </c>
      <c r="Z42" s="30">
        <f t="shared" si="7"/>
        <v>0</v>
      </c>
      <c r="AA42" s="30">
        <f t="shared" si="8"/>
        <v>0</v>
      </c>
      <c r="AB42" s="30">
        <f t="shared" si="16"/>
        <v>3436115.61651526</v>
      </c>
      <c r="AC42" s="30">
        <f t="shared" si="9"/>
        <v>283715.968336122</v>
      </c>
      <c r="AD42" s="30">
        <f>IF(SUM($AC$38:AC42)&lt;$AD$35,IF(SUM($AC$38:AC42)&gt;$AD$35,$AD$35-SUM($AC$38:AC42),AC42),IF(SUM($AC$38:AC41)&lt;$AD$35,IF(SUM($AC$38:AC42)&gt;$AD$35,$AD$35-SUM($AC$38:AC41)),0))</f>
        <v>283715.968336122</v>
      </c>
      <c r="AE42" s="30">
        <f t="shared" si="17"/>
        <v>3152399.64817914</v>
      </c>
      <c r="AF42" s="30">
        <f t="shared" si="10"/>
        <v>0</v>
      </c>
      <c r="AG42" s="30">
        <f t="shared" si="18"/>
        <v>283715.968336122</v>
      </c>
      <c r="AH42" s="30">
        <f ca="1">IF(OFFSET(AH41,-$C$17+1,0,1,1)&gt;0,IF((($A$17*$B$17*25)-SUM($AH$38:AH41))&gt;$AH$38,OFFSET(AH41,-$C$17+1,0,1,1),($A$17*$B$17*25)-SUM($AH$38:AH41)),0)</f>
        <v>0</v>
      </c>
      <c r="AI42" s="30">
        <f t="shared" si="19"/>
        <v>6675.62099073293</v>
      </c>
      <c r="AJ42" s="30">
        <f t="shared" si="32"/>
        <v>105332.38375</v>
      </c>
      <c r="AK42" s="30">
        <f t="shared" si="33"/>
        <v>514090.30428</v>
      </c>
      <c r="AL42" s="30">
        <f ca="1">IF(OFFSET(AL41,-$E$17+1,0,1,1)&gt;0,IF((($D$17*25)-SUM($AL$38:AL41))&gt;$AL$38,OFFSET(AL41,-$E$17+1,0,1,1),($D$17*25)-SUM($AL$38:AL41)),0)</f>
        <v>0</v>
      </c>
      <c r="AM42" s="30">
        <f t="shared" si="20"/>
        <v>0</v>
      </c>
      <c r="AN42" s="30">
        <f t="shared" si="11"/>
        <v>0</v>
      </c>
      <c r="AO42" s="30">
        <f ca="1" t="shared" si="12"/>
        <v>2526301.33915841</v>
      </c>
      <c r="AP42" s="30">
        <f t="shared" si="21"/>
        <v>1055705.90625</v>
      </c>
      <c r="AQ42" s="30">
        <f t="shared" si="13"/>
        <v>1050993.40872408</v>
      </c>
      <c r="AR42" s="30">
        <f>IF(AQ42=0,0,($AQ$36-SUM($AQ$38:AQ41))*$C$29)</f>
        <v>1050101.5362554</v>
      </c>
      <c r="AS42" s="30">
        <f ca="1" t="shared" si="22"/>
        <v>420493.896653004</v>
      </c>
      <c r="AT42" s="30">
        <f ca="1" t="shared" si="23"/>
        <v>176052.466247282</v>
      </c>
      <c r="AU42" s="30">
        <f ca="1" t="shared" si="24"/>
        <v>528157.398741845</v>
      </c>
      <c r="AV42" s="30">
        <f t="shared" si="34"/>
        <v>20472051.375</v>
      </c>
      <c r="AW42" s="30">
        <f t="shared" si="25"/>
        <v>4094410.275</v>
      </c>
      <c r="AX42" s="141">
        <f ca="1" t="shared" si="26"/>
        <v>0.153707691383643</v>
      </c>
      <c r="AY42" s="141">
        <f ca="1" t="shared" si="27"/>
        <v>0.0257989484818712</v>
      </c>
      <c r="AZ42" s="141">
        <f ca="1" t="shared" si="28"/>
        <v>0.106936641457356</v>
      </c>
      <c r="BA42" s="31">
        <f ca="1" t="shared" si="29"/>
        <v>0.405077813519219</v>
      </c>
      <c r="BB42" s="30">
        <f ca="1" t="shared" si="30"/>
        <v>2626192.87838098</v>
      </c>
      <c r="BC42" s="30">
        <f ca="1" t="shared" si="14"/>
        <v>1804336.48639696</v>
      </c>
      <c r="BD42" s="30">
        <f ca="1">$BB$37+SUM($BB$38:BB42)</f>
        <v>-10617003.7475047</v>
      </c>
      <c r="BE42" s="30">
        <f ca="1" t="shared" ref="BE42:BE62" si="36">IF(P42&lt;=$I$43,MAX(0,(AO42-AP42)*$C$41)/2,MAX(0,(AO42-AP42)*$C$41))</f>
        <v>183824.429113551</v>
      </c>
      <c r="BF42" s="30">
        <f ca="1" t="shared" si="35"/>
        <v>532869.896267769</v>
      </c>
      <c r="BH42" s="30">
        <f ca="1">$BF$37+SUM($BF$38:BF42)</f>
        <v>-1340292.2636411</v>
      </c>
    </row>
    <row r="43" ht="27.95" customHeight="1" spans="1:60">
      <c r="A43" s="88"/>
      <c r="B43" s="89"/>
      <c r="C43" s="89"/>
      <c r="D43" s="89"/>
      <c r="E43" s="89"/>
      <c r="F43" s="89"/>
      <c r="G43" s="90"/>
      <c r="H43" s="59">
        <v>0</v>
      </c>
      <c r="I43" s="110">
        <v>6</v>
      </c>
      <c r="N43" s="119"/>
      <c r="P43" s="30">
        <v>6</v>
      </c>
      <c r="Q43" s="30">
        <f t="shared" si="31"/>
        <v>7130906.04632158</v>
      </c>
      <c r="R43" s="31">
        <f t="shared" si="15"/>
        <v>0</v>
      </c>
      <c r="S43" s="30">
        <f t="shared" si="0"/>
        <v>485614.7017545</v>
      </c>
      <c r="T43" s="30">
        <f t="shared" si="1"/>
        <v>2927593.47731733</v>
      </c>
      <c r="U43" s="30">
        <f t="shared" si="2"/>
        <v>0</v>
      </c>
      <c r="V43" s="30">
        <f t="shared" si="3"/>
        <v>0</v>
      </c>
      <c r="W43" s="30">
        <f t="shared" si="4"/>
        <v>0</v>
      </c>
      <c r="X43" s="30">
        <f t="shared" si="5"/>
        <v>0</v>
      </c>
      <c r="Y43" s="30">
        <f t="shared" si="6"/>
        <v>0</v>
      </c>
      <c r="Z43" s="30">
        <f t="shared" si="7"/>
        <v>0</v>
      </c>
      <c r="AA43" s="30">
        <f t="shared" si="8"/>
        <v>0</v>
      </c>
      <c r="AB43" s="30">
        <f t="shared" si="16"/>
        <v>3413208.17907183</v>
      </c>
      <c r="AC43" s="30">
        <f t="shared" si="9"/>
        <v>281824.528547215</v>
      </c>
      <c r="AD43" s="30">
        <f>IF(SUM($AC$38:AC43)&lt;$AD$35,IF(SUM($AC$38:AC43)&gt;$AD$35,$AD$35-SUM($AC$38:AC43),AC43),IF(SUM($AC$38:AC42)&lt;$AD$35,IF(SUM($AC$38:AC43)&gt;$AD$35,$AD$35-SUM($AC$38:AC42)),0))</f>
        <v>281824.528547215</v>
      </c>
      <c r="AE43" s="30">
        <f t="shared" si="17"/>
        <v>3131383.65052461</v>
      </c>
      <c r="AF43" s="30">
        <f t="shared" si="10"/>
        <v>0</v>
      </c>
      <c r="AG43" s="30">
        <f t="shared" si="18"/>
        <v>281824.528547215</v>
      </c>
      <c r="AH43" s="30">
        <f ca="1">IF(OFFSET(AH42,-$C$17+1,0,1,1)&gt;0,IF((($A$17*$B$17*25)-SUM($AH$38:AH42))&gt;$AH$38,OFFSET(AH42,-$C$17+1,0,1,1),($A$17*$B$17*25)-SUM($AH$38:AH42)),0)</f>
        <v>0</v>
      </c>
      <c r="AI43" s="30">
        <f t="shared" si="19"/>
        <v>6677.62367703015</v>
      </c>
      <c r="AJ43" s="30">
        <f t="shared" si="32"/>
        <v>105332.38375</v>
      </c>
      <c r="AK43" s="30">
        <f t="shared" si="33"/>
        <v>532083.4649298</v>
      </c>
      <c r="AL43" s="30">
        <f ca="1">IF(OFFSET(AL42,-$E$17+1,0,1,1)&gt;0,IF((($D$17*25)-SUM($AL$38:AL42))&gt;$AL$38,OFFSET(AL42,-$E$17+1,0,1,1),($D$17*25)-SUM($AL$38:AL42)),0)</f>
        <v>0</v>
      </c>
      <c r="AM43" s="30">
        <f t="shared" si="20"/>
        <v>0</v>
      </c>
      <c r="AN43" s="30">
        <f t="shared" si="11"/>
        <v>0</v>
      </c>
      <c r="AO43" s="30">
        <f ca="1" t="shared" si="12"/>
        <v>2487290.17816778</v>
      </c>
      <c r="AP43" s="30">
        <f t="shared" si="21"/>
        <v>1055705.90625</v>
      </c>
      <c r="AQ43" s="30">
        <f t="shared" si="13"/>
        <v>1119307.98029114</v>
      </c>
      <c r="AR43" s="30">
        <f>IF(AQ43=0,0,($AQ$36-SUM($AQ$38:AQ42))*$C$29)</f>
        <v>981786.964688337</v>
      </c>
      <c r="AS43" s="30">
        <f ca="1" t="shared" si="22"/>
        <v>449797.307229445</v>
      </c>
      <c r="AT43" s="30">
        <f ca="1" t="shared" si="23"/>
        <v>182905.458944165</v>
      </c>
      <c r="AU43" s="30">
        <f ca="1" t="shared" si="24"/>
        <v>548716.376832495</v>
      </c>
      <c r="AV43" s="30">
        <f t="shared" si="34"/>
        <v>19416345.46875</v>
      </c>
      <c r="AW43" s="30">
        <f t="shared" si="25"/>
        <v>3883269.09375</v>
      </c>
      <c r="AX43" s="141">
        <f ca="1" t="shared" si="26"/>
        <v>0.160762645594536</v>
      </c>
      <c r="AY43" s="141">
        <f ca="1" t="shared" si="27"/>
        <v>0.0282605384064492</v>
      </c>
      <c r="AZ43" s="141">
        <f ca="1" t="shared" si="28"/>
        <v>0.111099241610353</v>
      </c>
      <c r="BA43" s="31">
        <f ca="1" t="shared" si="29"/>
        <v>0.401700959686175</v>
      </c>
      <c r="BB43" s="30">
        <f ca="1" t="shared" si="30"/>
        <v>2590166.67272527</v>
      </c>
      <c r="BC43" s="30">
        <f ca="1" t="shared" si="14"/>
        <v>1650884.93898052</v>
      </c>
      <c r="BD43" s="30">
        <f ca="1">$BB$37+SUM($BB$38:BB43)</f>
        <v>-8026837.07477942</v>
      </c>
      <c r="BE43" s="30">
        <f ca="1" t="shared" si="36"/>
        <v>178948.033989723</v>
      </c>
      <c r="BF43" s="30">
        <f ca="1" t="shared" si="35"/>
        <v>485114.302791354</v>
      </c>
      <c r="BH43" s="30">
        <f ca="1">$BF$37+SUM($BF$38:BF43)</f>
        <v>-855177.960849745</v>
      </c>
    </row>
    <row r="44" ht="27.95" customHeight="1" spans="14:60">
      <c r="N44" s="119"/>
      <c r="P44" s="30">
        <v>7</v>
      </c>
      <c r="Q44" s="30">
        <f t="shared" si="31"/>
        <v>7083366.67267944</v>
      </c>
      <c r="R44" s="31">
        <f t="shared" si="15"/>
        <v>0</v>
      </c>
      <c r="S44" s="30">
        <f t="shared" si="0"/>
        <v>482377.27040947</v>
      </c>
      <c r="T44" s="30">
        <f t="shared" si="1"/>
        <v>2908076.18746854</v>
      </c>
      <c r="U44" s="30">
        <f t="shared" si="2"/>
        <v>0</v>
      </c>
      <c r="V44" s="30">
        <f t="shared" si="3"/>
        <v>0</v>
      </c>
      <c r="W44" s="30">
        <f t="shared" si="4"/>
        <v>0</v>
      </c>
      <c r="X44" s="30">
        <f t="shared" si="5"/>
        <v>0</v>
      </c>
      <c r="Y44" s="30">
        <f t="shared" si="6"/>
        <v>0</v>
      </c>
      <c r="Z44" s="30">
        <f t="shared" si="7"/>
        <v>0</v>
      </c>
      <c r="AA44" s="30">
        <f t="shared" si="8"/>
        <v>0</v>
      </c>
      <c r="AB44" s="30">
        <f t="shared" si="16"/>
        <v>3390453.45787801</v>
      </c>
      <c r="AC44" s="30">
        <f t="shared" si="9"/>
        <v>279945.6983569</v>
      </c>
      <c r="AD44" s="30">
        <f>IF(SUM($AC$38:AC44)&lt;$AD$35,IF(SUM($AC$38:AC44)&gt;$AD$35,$AD$35-SUM($AC$38:AC44),AC44),IF(SUM($AC$38:AC43)&lt;$AD$35,IF(SUM($AC$38:AC44)&gt;$AD$35,$AD$35-SUM($AC$38:AC43)),0))</f>
        <v>279945.6983569</v>
      </c>
      <c r="AE44" s="30">
        <f t="shared" si="17"/>
        <v>3110507.75952111</v>
      </c>
      <c r="AF44" s="30">
        <f t="shared" si="10"/>
        <v>0</v>
      </c>
      <c r="AG44" s="30">
        <f t="shared" si="18"/>
        <v>279945.6983569</v>
      </c>
      <c r="AH44" s="30">
        <f ca="1">IF(OFFSET(AH43,-$C$17+1,0,1,1)&gt;0,IF((($A$17*$B$17*25)-SUM($AH$38:AH43))&gt;$AH$38,OFFSET(AH43,-$C$17+1,0,1,1),($A$17*$B$17*25)-SUM($AH$38:AH43)),0)</f>
        <v>0</v>
      </c>
      <c r="AI44" s="30">
        <f t="shared" si="19"/>
        <v>6679.62696413326</v>
      </c>
      <c r="AJ44" s="30">
        <f t="shared" si="32"/>
        <v>105332.38375</v>
      </c>
      <c r="AK44" s="30">
        <f t="shared" si="33"/>
        <v>550706.386202343</v>
      </c>
      <c r="AL44" s="30">
        <f ca="1">IF(OFFSET(AL43,-$E$17+1,0,1,1)&gt;0,IF((($D$17*25)-SUM($AL$38:AL43))&gt;$AL$38,OFFSET(AL43,-$E$17+1,0,1,1),($D$17*25)-SUM($AL$38:AL43)),0)</f>
        <v>0</v>
      </c>
      <c r="AM44" s="30">
        <f t="shared" si="20"/>
        <v>0</v>
      </c>
      <c r="AN44" s="30">
        <f t="shared" si="11"/>
        <v>0</v>
      </c>
      <c r="AO44" s="30">
        <f ca="1" t="shared" si="12"/>
        <v>2447789.36260464</v>
      </c>
      <c r="AP44" s="30">
        <f t="shared" si="21"/>
        <v>1055705.90625</v>
      </c>
      <c r="AQ44" s="30">
        <f t="shared" si="13"/>
        <v>1192062.99901007</v>
      </c>
      <c r="AR44" s="30">
        <f>IF(AQ44=0,0,($AQ$36-SUM($AQ$38:AQ43))*$C$29)</f>
        <v>909031.945969413</v>
      </c>
      <c r="AS44" s="30">
        <f ca="1" t="shared" si="22"/>
        <v>483051.510385225</v>
      </c>
      <c r="AT44" s="30">
        <f ca="1" t="shared" si="23"/>
        <v>190749.302185531</v>
      </c>
      <c r="AU44" s="30">
        <f ca="1" t="shared" si="24"/>
        <v>572247.906556593</v>
      </c>
      <c r="AV44" s="30">
        <f t="shared" si="34"/>
        <v>18360639.5625</v>
      </c>
      <c r="AW44" s="30">
        <f t="shared" si="25"/>
        <v>3672127.9125</v>
      </c>
      <c r="AX44" s="141">
        <f ca="1" t="shared" si="26"/>
        <v>0.168782115332368</v>
      </c>
      <c r="AY44" s="141">
        <f ca="1" t="shared" si="27"/>
        <v>0.0311671009394117</v>
      </c>
      <c r="AZ44" s="141">
        <f ca="1" t="shared" si="28"/>
        <v>0.115863697742263</v>
      </c>
      <c r="BA44" s="31">
        <f ca="1" t="shared" si="29"/>
        <v>0.397862440496162</v>
      </c>
      <c r="BB44" s="30">
        <f ca="1" t="shared" si="30"/>
        <v>2379714.19687288</v>
      </c>
      <c r="BC44" s="30">
        <f ca="1" t="shared" si="14"/>
        <v>1407058.25457373</v>
      </c>
      <c r="BD44" s="30">
        <f ca="1">$BB$37+SUM($BB$38:BB44)</f>
        <v>-5647122.87790655</v>
      </c>
      <c r="BE44" s="30">
        <f ca="1" t="shared" si="36"/>
        <v>348020.864088659</v>
      </c>
      <c r="BF44" s="30">
        <f ca="1" t="shared" si="35"/>
        <v>435890.813796528</v>
      </c>
      <c r="BH44" s="30">
        <f ca="1">$BF$37+SUM($BF$38:BF44)</f>
        <v>-419287.147053217</v>
      </c>
    </row>
    <row r="45" ht="27.95" customHeight="1" spans="14:60">
      <c r="N45" s="119"/>
      <c r="P45" s="30">
        <v>8</v>
      </c>
      <c r="Q45" s="30">
        <f t="shared" si="31"/>
        <v>7036144.22819491</v>
      </c>
      <c r="R45" s="31">
        <f t="shared" si="15"/>
        <v>0</v>
      </c>
      <c r="S45" s="30">
        <f t="shared" si="0"/>
        <v>479161.421940073</v>
      </c>
      <c r="T45" s="30">
        <f t="shared" si="1"/>
        <v>2888689.01288542</v>
      </c>
      <c r="U45" s="30">
        <f t="shared" si="2"/>
        <v>0</v>
      </c>
      <c r="V45" s="30">
        <f t="shared" si="3"/>
        <v>0</v>
      </c>
      <c r="W45" s="30">
        <f t="shared" si="4"/>
        <v>0</v>
      </c>
      <c r="X45" s="30">
        <f t="shared" si="5"/>
        <v>0</v>
      </c>
      <c r="Y45" s="30">
        <f t="shared" si="6"/>
        <v>0</v>
      </c>
      <c r="Z45" s="30">
        <f t="shared" si="7"/>
        <v>0</v>
      </c>
      <c r="AA45" s="30">
        <f t="shared" si="8"/>
        <v>0</v>
      </c>
      <c r="AB45" s="30">
        <f t="shared" si="16"/>
        <v>3367850.43482549</v>
      </c>
      <c r="AC45" s="30">
        <f t="shared" si="9"/>
        <v>278079.393701188</v>
      </c>
      <c r="AD45" s="30">
        <f>IF(SUM($AC$38:AC45)&lt;$AD$35,IF(SUM($AC$38:AC45)&gt;$AD$35,$AD$35-SUM($AC$38:AC45),AC45),IF(SUM($AC$38:AC44)&lt;$AD$35,IF(SUM($AC$38:AC45)&gt;$AD$35,$AD$35-SUM($AC$38:AC44)),0))</f>
        <v>278079.393701188</v>
      </c>
      <c r="AE45" s="30">
        <f t="shared" si="17"/>
        <v>3089771.04112431</v>
      </c>
      <c r="AF45" s="30">
        <f t="shared" si="10"/>
        <v>0</v>
      </c>
      <c r="AG45" s="30">
        <f t="shared" si="18"/>
        <v>278079.393701188</v>
      </c>
      <c r="AH45" s="30">
        <f ca="1">IF(OFFSET(AH44,-$C$17+1,0,1,1)&gt;0,IF((($A$17*$B$17*25)-SUM($AH$38:AH44))&gt;$AH$38,OFFSET(AH44,-$C$17+1,0,1,1),($A$17*$B$17*25)-SUM($AH$38:AH44)),0)</f>
        <v>0</v>
      </c>
      <c r="AI45" s="30">
        <f t="shared" si="19"/>
        <v>6681.6308522225</v>
      </c>
      <c r="AJ45" s="30">
        <f t="shared" si="32"/>
        <v>105332.38375</v>
      </c>
      <c r="AK45" s="30">
        <f t="shared" si="33"/>
        <v>569981.109719425</v>
      </c>
      <c r="AL45" s="30">
        <f ca="1">IF(OFFSET(AL44,-$E$17+1,0,1,1)&gt;0,IF((($D$17*25)-SUM($AL$38:AL44))&gt;$AL$38,OFFSET(AL44,-$E$17+1,0,1,1),($D$17*25)-SUM($AL$38:AL44)),0)</f>
        <v>0</v>
      </c>
      <c r="AM45" s="30">
        <f t="shared" si="20"/>
        <v>0</v>
      </c>
      <c r="AN45" s="30">
        <f t="shared" si="11"/>
        <v>0</v>
      </c>
      <c r="AO45" s="30">
        <f ca="1" t="shared" si="12"/>
        <v>2407775.91680266</v>
      </c>
      <c r="AP45" s="30">
        <f t="shared" si="21"/>
        <v>1055705.90625</v>
      </c>
      <c r="AQ45" s="30">
        <f t="shared" si="13"/>
        <v>1269547.09394572</v>
      </c>
      <c r="AR45" s="30">
        <f>IF(AQ45=0,0,($AQ$36-SUM($AQ$38:AQ44))*$C$29)</f>
        <v>831547.851033759</v>
      </c>
      <c r="AS45" s="30">
        <f ca="1" t="shared" si="22"/>
        <v>520522.159518901</v>
      </c>
      <c r="AT45" s="30">
        <f ca="1" t="shared" si="23"/>
        <v>199650.388305022</v>
      </c>
      <c r="AU45" s="30">
        <f ca="1" t="shared" si="24"/>
        <v>598951.164915067</v>
      </c>
      <c r="AV45" s="30">
        <f t="shared" si="34"/>
        <v>17304933.65625</v>
      </c>
      <c r="AW45" s="30">
        <f t="shared" si="25"/>
        <v>3460986.73125</v>
      </c>
      <c r="AX45" s="141">
        <f ca="1" t="shared" si="26"/>
        <v>0.177843754200475</v>
      </c>
      <c r="AY45" s="141">
        <f ca="1" t="shared" si="27"/>
        <v>0.0346115840033137</v>
      </c>
      <c r="AZ45" s="141">
        <f ca="1" t="shared" si="28"/>
        <v>0.12127033745161</v>
      </c>
      <c r="BA45" s="31">
        <f ca="1" t="shared" si="29"/>
        <v>0.393525087051943</v>
      </c>
      <c r="BB45" s="30">
        <f ca="1" t="shared" si="30"/>
        <v>2347837.80786568</v>
      </c>
      <c r="BC45" s="30">
        <f ca="1" t="shared" si="14"/>
        <v>1287815.21296735</v>
      </c>
      <c r="BD45" s="30">
        <f ca="1">$BB$37+SUM($BB$38:BB45)</f>
        <v>-3299285.07004086</v>
      </c>
      <c r="BE45" s="30">
        <f ca="1" t="shared" si="36"/>
        <v>338017.502638165</v>
      </c>
      <c r="BF45" s="30">
        <f ca="1" t="shared" si="35"/>
        <v>385109.977219347</v>
      </c>
      <c r="BH45" s="30">
        <f ca="1">$BF$37+SUM($BF$38:BF45)</f>
        <v>-34177.1698338697</v>
      </c>
    </row>
    <row r="46" ht="27.95" customHeight="1" spans="14:60">
      <c r="N46" s="119"/>
      <c r="P46" s="30">
        <v>9</v>
      </c>
      <c r="Q46" s="30">
        <f t="shared" si="31"/>
        <v>6989236.60000694</v>
      </c>
      <c r="R46" s="31">
        <f t="shared" si="15"/>
        <v>0</v>
      </c>
      <c r="S46" s="30">
        <f t="shared" si="0"/>
        <v>475967.012460473</v>
      </c>
      <c r="T46" s="30">
        <f t="shared" si="1"/>
        <v>2869431.08613285</v>
      </c>
      <c r="U46" s="30">
        <f t="shared" si="2"/>
        <v>0</v>
      </c>
      <c r="V46" s="30">
        <f t="shared" si="3"/>
        <v>0</v>
      </c>
      <c r="W46" s="30">
        <f t="shared" si="4"/>
        <v>0</v>
      </c>
      <c r="X46" s="30">
        <f t="shared" si="5"/>
        <v>0</v>
      </c>
      <c r="Y46" s="30">
        <f t="shared" si="6"/>
        <v>0</v>
      </c>
      <c r="Z46" s="30">
        <f t="shared" si="7"/>
        <v>0</v>
      </c>
      <c r="AA46" s="30">
        <f t="shared" si="8"/>
        <v>0</v>
      </c>
      <c r="AB46" s="30">
        <f t="shared" si="16"/>
        <v>3345398.09859332</v>
      </c>
      <c r="AC46" s="30">
        <f t="shared" si="9"/>
        <v>276225.531076513</v>
      </c>
      <c r="AD46" s="30">
        <f>IF(SUM($AC$38:AC46)&lt;$AD$35,IF(SUM($AC$38:AC46)&gt;$AD$35,$AD$35-SUM($AC$38:AC46),AC46),IF(SUM($AC$38:AC45)&lt;$AD$35,IF(SUM($AC$38:AC46)&gt;$AD$35,$AD$35-SUM($AC$38:AC45)),0))</f>
        <v>191888.473912738</v>
      </c>
      <c r="AE46" s="30">
        <f t="shared" si="17"/>
        <v>3069172.56751681</v>
      </c>
      <c r="AF46" s="30">
        <f t="shared" si="10"/>
        <v>84337.0571637751</v>
      </c>
      <c r="AG46" s="30">
        <f t="shared" si="18"/>
        <v>191888.473912738</v>
      </c>
      <c r="AH46" s="30">
        <f ca="1">IF(OFFSET(AH45,-$C$17+1,0,1,1)&gt;0,IF((($A$17*$B$17*25)-SUM($AH$38:AH45))&gt;$AH$38,OFFSET(AH45,-$C$17+1,0,1,1),($A$17*$B$17*25)-SUM($AH$38:AH45)),0)</f>
        <v>0</v>
      </c>
      <c r="AI46" s="30">
        <f t="shared" si="19"/>
        <v>6683.63534147816</v>
      </c>
      <c r="AJ46" s="30">
        <f t="shared" si="32"/>
        <v>105332.38375</v>
      </c>
      <c r="AK46" s="30">
        <f t="shared" si="33"/>
        <v>589930.448559604</v>
      </c>
      <c r="AL46" s="30">
        <f ca="1">IF(OFFSET(AL45,-$E$17+1,0,1,1)&gt;0,IF((($D$17*25)-SUM($AL$38:AL45))&gt;$AL$38,OFFSET(AL45,-$E$17+1,0,1,1),($D$17*25)-SUM($AL$38:AL45)),0)</f>
        <v>0</v>
      </c>
      <c r="AM46" s="30">
        <f t="shared" si="20"/>
        <v>0</v>
      </c>
      <c r="AN46" s="30">
        <f t="shared" si="11"/>
        <v>8433.70571637752</v>
      </c>
      <c r="AO46" s="30">
        <f ca="1" t="shared" si="12"/>
        <v>2358792.39414935</v>
      </c>
      <c r="AP46" s="30">
        <f t="shared" si="21"/>
        <v>1055705.90625</v>
      </c>
      <c r="AQ46" s="30">
        <f t="shared" si="13"/>
        <v>1352067.65505219</v>
      </c>
      <c r="AR46" s="30">
        <f>IF(AQ46=0,0,($AQ$36-SUM($AQ$38:AQ45))*$C$29)</f>
        <v>749027.289927287</v>
      </c>
      <c r="AS46" s="30">
        <f ca="1" t="shared" si="22"/>
        <v>554059.197972064</v>
      </c>
      <c r="AT46" s="30">
        <f ca="1" t="shared" si="23"/>
        <v>186486.9179712</v>
      </c>
      <c r="AU46" s="30">
        <f ca="1" t="shared" si="24"/>
        <v>559460.753913601</v>
      </c>
      <c r="AV46" s="30">
        <f t="shared" si="34"/>
        <v>16249227.75</v>
      </c>
      <c r="AW46" s="30">
        <f t="shared" si="25"/>
        <v>3249845.55</v>
      </c>
      <c r="AX46" s="141">
        <f ca="1" t="shared" si="26"/>
        <v>0.167232938330671</v>
      </c>
      <c r="AY46" s="141">
        <f ca="1" t="shared" si="27"/>
        <v>0.0344299903060686</v>
      </c>
      <c r="AZ46" s="141">
        <f ca="1" t="shared" si="28"/>
        <v>0.113274668106966</v>
      </c>
      <c r="BA46" s="31">
        <f ca="1" t="shared" si="29"/>
        <v>0.386537248934063</v>
      </c>
      <c r="BB46" s="30">
        <f ca="1" t="shared" si="30"/>
        <v>2224909.24608725</v>
      </c>
      <c r="BC46" s="30">
        <f ca="1" t="shared" si="14"/>
        <v>1132129.0710435</v>
      </c>
      <c r="BD46" s="30">
        <f ca="1">$BB$37+SUM($BB$38:BB46)</f>
        <v>-1074375.82395361</v>
      </c>
      <c r="BE46" s="30">
        <f ca="1" t="shared" si="36"/>
        <v>325771.621974838</v>
      </c>
      <c r="BF46" s="30">
        <f ca="1" t="shared" si="35"/>
        <v>263099.00511141</v>
      </c>
      <c r="BH46" s="30">
        <f ca="1">$BF$37+SUM($BF$38:BF46)</f>
        <v>228921.835277541</v>
      </c>
    </row>
    <row r="47" ht="27.95" customHeight="1" spans="14:60">
      <c r="N47" s="119"/>
      <c r="P47" s="30">
        <v>10</v>
      </c>
      <c r="Q47" s="30">
        <f t="shared" si="31"/>
        <v>6942641.68934023</v>
      </c>
      <c r="R47" s="31">
        <f t="shared" si="15"/>
        <v>0</v>
      </c>
      <c r="S47" s="30">
        <f t="shared" si="0"/>
        <v>472793.89904407</v>
      </c>
      <c r="T47" s="30">
        <f t="shared" si="1"/>
        <v>2850301.54555863</v>
      </c>
      <c r="U47" s="30">
        <f t="shared" si="2"/>
        <v>0</v>
      </c>
      <c r="V47" s="30">
        <f t="shared" si="3"/>
        <v>0</v>
      </c>
      <c r="W47" s="30">
        <f t="shared" si="4"/>
        <v>0</v>
      </c>
      <c r="X47" s="30">
        <f t="shared" si="5"/>
        <v>0</v>
      </c>
      <c r="Y47" s="30">
        <f t="shared" si="6"/>
        <v>0</v>
      </c>
      <c r="Z47" s="30">
        <f t="shared" si="7"/>
        <v>0</v>
      </c>
      <c r="AA47" s="30">
        <f t="shared" si="8"/>
        <v>0</v>
      </c>
      <c r="AB47" s="30">
        <f t="shared" si="16"/>
        <v>3323095.4446027</v>
      </c>
      <c r="AC47" s="30">
        <f t="shared" si="9"/>
        <v>274384.027536003</v>
      </c>
      <c r="AD47" s="30">
        <f>IF(SUM($AC$38:AC47)&lt;$AD$35,IF(SUM($AC$38:AC47)&gt;$AD$35,$AD$35-SUM($AC$38:AC47),AC47),IF(SUM($AC$38:AC46)&lt;$AD$35,IF(SUM($AC$38:AC47)&gt;$AD$35,$AD$35-SUM($AC$38:AC46)),0))</f>
        <v>0</v>
      </c>
      <c r="AE47" s="30">
        <f t="shared" si="17"/>
        <v>3048711.4170667</v>
      </c>
      <c r="AF47" s="30">
        <f t="shared" si="10"/>
        <v>274384.027536003</v>
      </c>
      <c r="AG47" s="30">
        <f t="shared" si="18"/>
        <v>0</v>
      </c>
      <c r="AH47" s="30">
        <f ca="1">IF(OFFSET(AH46,-$C$17+1,0,1,1)&gt;0,IF((($A$17*$B$17*25)-SUM($AH$38:AH46))&gt;$AH$38,OFFSET(AH46,-$C$17+1,0,1,1),($A$17*$B$17*25)-SUM($AH$38:AH46)),0)</f>
        <v>0</v>
      </c>
      <c r="AI47" s="30">
        <f t="shared" si="19"/>
        <v>6685.64043208061</v>
      </c>
      <c r="AJ47" s="30">
        <f t="shared" si="32"/>
        <v>105332.38375</v>
      </c>
      <c r="AK47" s="30">
        <f t="shared" si="33"/>
        <v>610578.014259191</v>
      </c>
      <c r="AL47" s="30">
        <f ca="1">IF(OFFSET(AL46,-$E$17+1,0,1,1)&gt;0,IF((($D$17*25)-SUM($AL$38:AL46))&gt;$AL$38,OFFSET(AL46,-$E$17+1,0,1,1),($D$17*25)-SUM($AL$38:AL46)),0)</f>
        <v>0</v>
      </c>
      <c r="AM47" s="30">
        <f t="shared" si="20"/>
        <v>0</v>
      </c>
      <c r="AN47" s="30">
        <f t="shared" si="11"/>
        <v>27438.4027536003</v>
      </c>
      <c r="AO47" s="30">
        <f ca="1" t="shared" si="12"/>
        <v>2298676.97587183</v>
      </c>
      <c r="AP47" s="30">
        <f t="shared" si="21"/>
        <v>1055705.90625</v>
      </c>
      <c r="AQ47" s="30">
        <f t="shared" si="13"/>
        <v>1439952.05263058</v>
      </c>
      <c r="AR47" s="30">
        <f>IF(AQ47=0,0,($AQ$36-SUM($AQ$38:AQ46))*$C$29)</f>
        <v>661142.892348894</v>
      </c>
      <c r="AS47" s="30">
        <f ca="1" t="shared" si="22"/>
        <v>581828.177272932</v>
      </c>
      <c r="AT47" s="30">
        <f ca="1" t="shared" si="23"/>
        <v>145457.044318233</v>
      </c>
      <c r="AU47" s="30">
        <f ca="1" t="shared" si="24"/>
        <v>436371.132954699</v>
      </c>
      <c r="AV47" s="30">
        <f t="shared" si="34"/>
        <v>15193521.84375</v>
      </c>
      <c r="AW47" s="30">
        <f t="shared" si="25"/>
        <v>3038704.36875</v>
      </c>
      <c r="AX47" s="141">
        <f ca="1" t="shared" si="26"/>
        <v>0.131314655335417</v>
      </c>
      <c r="AY47" s="141">
        <f ca="1" t="shared" si="27"/>
        <v>0.0287208678436991</v>
      </c>
      <c r="AZ47" s="141">
        <f ca="1" t="shared" si="28"/>
        <v>0.0883525697041794</v>
      </c>
      <c r="BA47" s="31">
        <f ca="1" t="shared" si="29"/>
        <v>0.376274680590675</v>
      </c>
      <c r="BB47" s="30">
        <f ca="1" t="shared" si="30"/>
        <v>1987934.20846637</v>
      </c>
      <c r="BC47" s="30">
        <f ca="1" t="shared" si="14"/>
        <v>938390.994138964</v>
      </c>
      <c r="BD47" s="30">
        <f ca="1">$BB$37+SUM($BB$38:BB47)</f>
        <v>913558.384512756</v>
      </c>
      <c r="BE47" s="30">
        <f ca="1" t="shared" si="36"/>
        <v>310742.767405457</v>
      </c>
      <c r="BF47" s="30">
        <f ca="1" t="shared" si="35"/>
        <v>52124.9865741155</v>
      </c>
      <c r="BH47" s="30">
        <f ca="1">$BF$37+SUM($BF$38:BF47)</f>
        <v>281046.821851656</v>
      </c>
    </row>
    <row r="48" ht="27.95" customHeight="1" spans="14:60">
      <c r="N48" s="119"/>
      <c r="P48" s="30">
        <v>11</v>
      </c>
      <c r="Q48" s="30">
        <f>Q47*(1-$F$21/15)</f>
        <v>6887100.55582551</v>
      </c>
      <c r="R48" s="31">
        <f t="shared" si="15"/>
        <v>0</v>
      </c>
      <c r="S48" s="30">
        <f t="shared" si="0"/>
        <v>469011.547851717</v>
      </c>
      <c r="T48" s="30">
        <f t="shared" si="1"/>
        <v>2827499.13319416</v>
      </c>
      <c r="U48" s="30">
        <f t="shared" si="2"/>
        <v>0</v>
      </c>
      <c r="V48" s="30">
        <f t="shared" si="3"/>
        <v>0</v>
      </c>
      <c r="W48" s="30">
        <f t="shared" si="4"/>
        <v>0</v>
      </c>
      <c r="X48" s="30">
        <f t="shared" si="5"/>
        <v>0</v>
      </c>
      <c r="Y48" s="30">
        <f t="shared" si="6"/>
        <v>0</v>
      </c>
      <c r="Z48" s="30">
        <f t="shared" si="7"/>
        <v>0</v>
      </c>
      <c r="AA48" s="30">
        <f t="shared" si="8"/>
        <v>0</v>
      </c>
      <c r="AB48" s="30">
        <f t="shared" si="16"/>
        <v>3296510.68104588</v>
      </c>
      <c r="AC48" s="30">
        <f t="shared" si="9"/>
        <v>272188.955315715</v>
      </c>
      <c r="AD48" s="30">
        <f>IF(SUM($AC$38:AC48)&lt;$AD$35,IF(SUM($AC$38:AC48)&gt;$AD$35,$AD$35-SUM($AC$38:AC48),AC48),IF(SUM($AC$38:AC47)&lt;$AD$35,IF(SUM($AC$38:AC48)&gt;$AD$35,$AD$35-SUM($AC$38:AC47)),0))</f>
        <v>0</v>
      </c>
      <c r="AE48" s="30">
        <f t="shared" si="17"/>
        <v>3024321.72573016</v>
      </c>
      <c r="AF48" s="30">
        <f t="shared" si="10"/>
        <v>272188.955315715</v>
      </c>
      <c r="AG48" s="30">
        <f t="shared" si="18"/>
        <v>0</v>
      </c>
      <c r="AH48" s="30">
        <f ca="1">IF(OFFSET(AH47,-$C$17+1,0,1,1)&gt;0,IF((($A$17*$B$17*25)-SUM($AH$38:AH47))&gt;$AH$38,OFFSET(AH47,-$C$17+1,0,1,1),($A$17*$B$17*25)-SUM($AH$38:AH47)),0)</f>
        <v>0</v>
      </c>
      <c r="AI48" s="30">
        <f t="shared" si="19"/>
        <v>6687.64612421023</v>
      </c>
      <c r="AJ48" s="30">
        <f t="shared" si="32"/>
        <v>105332.38375</v>
      </c>
      <c r="AK48" s="30">
        <f t="shared" si="33"/>
        <v>631948.244758262</v>
      </c>
      <c r="AL48" s="30">
        <f ca="1">IF(OFFSET(AL47,-$E$17+1,0,1,1)&gt;0,IF((($D$17*25)-SUM($AL$38:AL47))&gt;$AL$38,OFFSET(AL47,-$E$17+1,0,1,1),($D$17*25)-SUM($AL$38:AL47)),0)</f>
        <v>0</v>
      </c>
      <c r="AM48" s="30">
        <f t="shared" si="20"/>
        <v>0</v>
      </c>
      <c r="AN48" s="30">
        <f t="shared" si="11"/>
        <v>27218.8955315715</v>
      </c>
      <c r="AO48" s="30">
        <f ca="1" t="shared" si="12"/>
        <v>2253134.55556612</v>
      </c>
      <c r="AP48" s="30">
        <f t="shared" si="21"/>
        <v>1055705.90625</v>
      </c>
      <c r="AQ48" s="30">
        <f t="shared" si="13"/>
        <v>1533548.93605157</v>
      </c>
      <c r="AR48" s="30">
        <f>IF(AQ48=0,0,($AQ$36-SUM($AQ$38:AQ47))*$C$29)</f>
        <v>567546.008927907</v>
      </c>
      <c r="AS48" s="30">
        <f ca="1" t="shared" si="22"/>
        <v>629882.640388214</v>
      </c>
      <c r="AT48" s="30">
        <f ca="1" t="shared" si="23"/>
        <v>157470.660097054</v>
      </c>
      <c r="AU48" s="30">
        <f ca="1" t="shared" si="24"/>
        <v>472411.980291161</v>
      </c>
      <c r="AV48" s="30">
        <f t="shared" si="34"/>
        <v>14137815.9375</v>
      </c>
      <c r="AW48" s="30">
        <f t="shared" si="25"/>
        <v>2827563.1875</v>
      </c>
      <c r="AX48" s="141">
        <f ca="1" t="shared" si="26"/>
        <v>0.143306673631429</v>
      </c>
      <c r="AY48" s="141">
        <f ca="1" t="shared" si="27"/>
        <v>0.0334147779529444</v>
      </c>
      <c r="AZ48" s="141">
        <f ca="1" t="shared" si="28"/>
        <v>0.0956498018903033</v>
      </c>
      <c r="BA48" s="31">
        <f ca="1" t="shared" si="29"/>
        <v>0.370534701033289</v>
      </c>
      <c r="BB48" s="30">
        <f ca="1" t="shared" si="30"/>
        <v>1953777.39323709</v>
      </c>
      <c r="BC48" s="30">
        <f ca="1" t="shared" si="14"/>
        <v>855569.091144355</v>
      </c>
      <c r="BD48" s="30">
        <f ca="1">$BB$37+SUM($BB$38:BB48)</f>
        <v>2867335.77774985</v>
      </c>
      <c r="BE48" s="30">
        <f ca="1" t="shared" si="36"/>
        <v>299357.16232903</v>
      </c>
      <c r="BF48" s="30">
        <f ca="1" t="shared" si="35"/>
        <v>-5431.04951041075</v>
      </c>
      <c r="BH48" s="30">
        <f ca="1">$BF$37+SUM($BF$38:BF48)</f>
        <v>275615.772341245</v>
      </c>
    </row>
    <row r="49" ht="27.95" customHeight="1" spans="14:60">
      <c r="N49" s="119"/>
      <c r="P49" s="30">
        <v>12</v>
      </c>
      <c r="Q49" s="30">
        <f t="shared" ref="Q49:Q62" si="37">Q48*(1-$F$21/15)</f>
        <v>6832003.75137891</v>
      </c>
      <c r="R49" s="31">
        <f t="shared" si="15"/>
        <v>0</v>
      </c>
      <c r="S49" s="30">
        <f t="shared" si="0"/>
        <v>465259.455468904</v>
      </c>
      <c r="T49" s="30">
        <f t="shared" si="1"/>
        <v>2804879.14012861</v>
      </c>
      <c r="U49" s="30">
        <f t="shared" si="2"/>
        <v>0</v>
      </c>
      <c r="V49" s="30">
        <f t="shared" si="3"/>
        <v>0</v>
      </c>
      <c r="W49" s="30">
        <f t="shared" si="4"/>
        <v>0</v>
      </c>
      <c r="X49" s="30">
        <f t="shared" si="5"/>
        <v>0</v>
      </c>
      <c r="Y49" s="30">
        <f t="shared" si="6"/>
        <v>0</v>
      </c>
      <c r="Z49" s="30">
        <f t="shared" si="7"/>
        <v>0</v>
      </c>
      <c r="AA49" s="30">
        <f t="shared" si="8"/>
        <v>0</v>
      </c>
      <c r="AB49" s="30">
        <f t="shared" si="16"/>
        <v>3270138.59559751</v>
      </c>
      <c r="AC49" s="30">
        <f t="shared" si="9"/>
        <v>270011.443673189</v>
      </c>
      <c r="AD49" s="30">
        <f>IF(SUM($AC$38:AC49)&lt;$AD$35,IF(SUM($AC$38:AC49)&gt;$AD$35,$AD$35-SUM($AC$38:AC49),AC49),IF(SUM($AC$38:AC48)&lt;$AD$35,IF(SUM($AC$38:AC49)&gt;$AD$35,$AD$35-SUM($AC$38:AC48)),0))</f>
        <v>0</v>
      </c>
      <c r="AE49" s="30">
        <f t="shared" si="17"/>
        <v>3000127.15192432</v>
      </c>
      <c r="AF49" s="30">
        <f t="shared" si="10"/>
        <v>270011.443673189</v>
      </c>
      <c r="AG49" s="30">
        <f t="shared" si="18"/>
        <v>0</v>
      </c>
      <c r="AH49" s="30">
        <f ca="1">IF(OFFSET(AH48,-$C$17+1,0,1,1)&gt;0,IF((($A$17*$B$17*25)-SUM($AH$38:AH48))&gt;$AH$38,OFFSET(AH48,-$C$17+1,0,1,1),($A$17*$B$17*25)-SUM($AH$38:AH48)),0)</f>
        <v>0</v>
      </c>
      <c r="AI49" s="30">
        <f t="shared" si="19"/>
        <v>6689.65241804749</v>
      </c>
      <c r="AJ49" s="30">
        <f t="shared" si="32"/>
        <v>105332.38375</v>
      </c>
      <c r="AK49" s="30">
        <f t="shared" si="33"/>
        <v>654066.433324801</v>
      </c>
      <c r="AL49" s="30">
        <f ca="1">IF(OFFSET(AL48,-$E$17+1,0,1,1)&gt;0,IF((($D$17*25)-SUM($AL$38:AL48))&gt;$AL$38,OFFSET(AL48,-$E$17+1,0,1,1),($D$17*25)-SUM($AL$38:AL48)),0)</f>
        <v>0</v>
      </c>
      <c r="AM49" s="30">
        <f t="shared" si="20"/>
        <v>0</v>
      </c>
      <c r="AN49" s="30">
        <f t="shared" si="11"/>
        <v>27001.1443673189</v>
      </c>
      <c r="AO49" s="30">
        <f ca="1" t="shared" si="12"/>
        <v>2207037.53806416</v>
      </c>
      <c r="AP49" s="30">
        <f t="shared" si="21"/>
        <v>1055705.90625</v>
      </c>
      <c r="AQ49" s="30">
        <f t="shared" si="13"/>
        <v>1633229.61689492</v>
      </c>
      <c r="AR49" s="30">
        <f>IF(AQ49=0,0,($AQ$36-SUM($AQ$38:AQ48))*$C$29)</f>
        <v>467865.328084554</v>
      </c>
      <c r="AS49" s="30">
        <f ca="1" t="shared" si="22"/>
        <v>683466.303729602</v>
      </c>
      <c r="AT49" s="30">
        <f ca="1" t="shared" si="23"/>
        <v>170866.5759324</v>
      </c>
      <c r="AU49" s="30">
        <f ca="1" t="shared" si="24"/>
        <v>512599.727797201</v>
      </c>
      <c r="AV49" s="30">
        <f t="shared" si="34"/>
        <v>13082110.03125</v>
      </c>
      <c r="AW49" s="30">
        <f t="shared" si="25"/>
        <v>2616422.00625</v>
      </c>
      <c r="AX49" s="141">
        <f ca="1" t="shared" si="26"/>
        <v>0.156751682784118</v>
      </c>
      <c r="AY49" s="141">
        <f ca="1" t="shared" si="27"/>
        <v>0.0391832606951573</v>
      </c>
      <c r="AZ49" s="141">
        <f ca="1" t="shared" si="28"/>
        <v>0.103786661766298</v>
      </c>
      <c r="BA49" s="31">
        <f ca="1" t="shared" si="29"/>
        <v>0.364099247402355</v>
      </c>
      <c r="BB49" s="30">
        <f ca="1" t="shared" si="30"/>
        <v>1919204.63011062</v>
      </c>
      <c r="BC49" s="30">
        <f ca="1" t="shared" si="14"/>
        <v>779649.619932466</v>
      </c>
      <c r="BD49" s="30">
        <f ca="1">$BB$37+SUM($BB$38:BB49)</f>
        <v>4786540.40786047</v>
      </c>
      <c r="BE49" s="30">
        <f ca="1" t="shared" si="36"/>
        <v>287832.907953539</v>
      </c>
      <c r="BF49" s="30">
        <f ca="1" t="shared" si="35"/>
        <v>-64923.9828477225</v>
      </c>
      <c r="BH49" s="30">
        <f ca="1">$BF$37+SUM($BF$38:BF49)</f>
        <v>210691.789493523</v>
      </c>
    </row>
    <row r="50" ht="27.95" customHeight="1" spans="14:60">
      <c r="N50" s="119"/>
      <c r="P50" s="30">
        <v>13</v>
      </c>
      <c r="Q50" s="30">
        <f t="shared" si="37"/>
        <v>6777347.72136787</v>
      </c>
      <c r="R50" s="31">
        <f t="shared" si="15"/>
        <v>0</v>
      </c>
      <c r="S50" s="30">
        <f t="shared" si="0"/>
        <v>461537.379825152</v>
      </c>
      <c r="T50" s="30">
        <f t="shared" si="1"/>
        <v>2782440.10700758</v>
      </c>
      <c r="U50" s="30">
        <f t="shared" si="2"/>
        <v>0</v>
      </c>
      <c r="V50" s="30">
        <f t="shared" si="3"/>
        <v>0</v>
      </c>
      <c r="W50" s="30">
        <f t="shared" si="4"/>
        <v>0</v>
      </c>
      <c r="X50" s="30">
        <f t="shared" si="5"/>
        <v>0</v>
      </c>
      <c r="Y50" s="30">
        <f t="shared" si="6"/>
        <v>0</v>
      </c>
      <c r="Z50" s="30">
        <f t="shared" si="7"/>
        <v>0</v>
      </c>
      <c r="AA50" s="30">
        <f t="shared" si="8"/>
        <v>0</v>
      </c>
      <c r="AB50" s="30">
        <f t="shared" si="16"/>
        <v>3243977.48683273</v>
      </c>
      <c r="AC50" s="30">
        <f t="shared" si="9"/>
        <v>267851.352123804</v>
      </c>
      <c r="AD50" s="30">
        <f>IF(SUM($AC$38:AC50)&lt;$AD$35,IF(SUM($AC$38:AC50)&gt;$AD$35,$AD$35-SUM($AC$38:AC50),AC50),IF(SUM($AC$38:AC49)&lt;$AD$35,IF(SUM($AC$38:AC50)&gt;$AD$35,$AD$35-SUM($AC$38:AC49)),0))</f>
        <v>0</v>
      </c>
      <c r="AE50" s="30">
        <f t="shared" si="17"/>
        <v>2976126.13470893</v>
      </c>
      <c r="AF50" s="30">
        <f t="shared" si="10"/>
        <v>267851.352123804</v>
      </c>
      <c r="AG50" s="30">
        <f t="shared" si="18"/>
        <v>0</v>
      </c>
      <c r="AH50" s="30">
        <f ca="1">IF(OFFSET(AH49,-$C$17+1,0,1,1)&gt;0,IF((($A$17*$B$17*25)-SUM($AH$38:AH49))&gt;$AH$38,OFFSET(AH49,-$C$17+1,0,1,1),($A$17*$B$17*25)-SUM($AH$38:AH49)),0)</f>
        <v>0</v>
      </c>
      <c r="AI50" s="30">
        <f t="shared" si="19"/>
        <v>6691.65931377291</v>
      </c>
      <c r="AJ50" s="30">
        <f t="shared" si="32"/>
        <v>105332.38375</v>
      </c>
      <c r="AK50" s="30">
        <f t="shared" si="33"/>
        <v>676958.758491169</v>
      </c>
      <c r="AL50" s="30">
        <f ca="1">IF(OFFSET(AL49,-$E$17+1,0,1,1)&gt;0,IF((($D$17*25)-SUM($AL$38:AL49))&gt;$AL$38,OFFSET(AL49,-$E$17+1,0,1,1),($D$17*25)-SUM($AL$38:AL49)),0)</f>
        <v>0</v>
      </c>
      <c r="AM50" s="30">
        <f t="shared" si="20"/>
        <v>0</v>
      </c>
      <c r="AN50" s="30">
        <f t="shared" si="11"/>
        <v>26785.1352123804</v>
      </c>
      <c r="AO50" s="30">
        <f ca="1" t="shared" si="12"/>
        <v>2160358.19794161</v>
      </c>
      <c r="AP50" s="30">
        <f t="shared" si="21"/>
        <v>1055705.90625</v>
      </c>
      <c r="AQ50" s="30">
        <f t="shared" si="13"/>
        <v>1739389.54199309</v>
      </c>
      <c r="AR50" s="30">
        <f>IF(AQ50=0,0,($AQ$36-SUM($AQ$38:AQ49))*$C$29)</f>
        <v>361705.402986384</v>
      </c>
      <c r="AS50" s="30">
        <f ca="1" t="shared" si="22"/>
        <v>742946.888705223</v>
      </c>
      <c r="AT50" s="30">
        <f ca="1" t="shared" si="23"/>
        <v>185736.722176306</v>
      </c>
      <c r="AU50" s="30">
        <f ca="1" t="shared" si="24"/>
        <v>557210.166528917</v>
      </c>
      <c r="AV50" s="30">
        <f t="shared" si="34"/>
        <v>12026404.125</v>
      </c>
      <c r="AW50" s="30">
        <f t="shared" si="25"/>
        <v>2405280.825</v>
      </c>
      <c r="AX50" s="141">
        <f ca="1" t="shared" si="26"/>
        <v>0.171767581245747</v>
      </c>
      <c r="AY50" s="141">
        <f ca="1" t="shared" si="27"/>
        <v>0.046332233703224</v>
      </c>
      <c r="AZ50" s="141">
        <f ca="1" t="shared" si="28"/>
        <v>0.11281898906735</v>
      </c>
      <c r="BA50" s="31">
        <f ca="1" t="shared" si="29"/>
        <v>0.356911887603696</v>
      </c>
      <c r="BB50" s="30">
        <f ca="1" t="shared" si="30"/>
        <v>1884195.12501871</v>
      </c>
      <c r="BC50" s="30">
        <f ca="1" t="shared" si="14"/>
        <v>710071.770125369</v>
      </c>
      <c r="BD50" s="30">
        <f ca="1">$BB$37+SUM($BB$38:BB50)</f>
        <v>6670735.53287917</v>
      </c>
      <c r="BE50" s="30">
        <f ca="1" t="shared" si="36"/>
        <v>276163.072922902</v>
      </c>
      <c r="BF50" s="30">
        <f ca="1" t="shared" si="35"/>
        <v>-126473.469214177</v>
      </c>
      <c r="BH50" s="30">
        <f ca="1">$BF$37+SUM($BF$38:BF50)</f>
        <v>84218.3202793458</v>
      </c>
    </row>
    <row r="51" ht="27.95" customHeight="1" spans="14:60">
      <c r="N51" s="119"/>
      <c r="P51" s="30">
        <v>14</v>
      </c>
      <c r="Q51" s="30">
        <f t="shared" si="37"/>
        <v>6723128.93959693</v>
      </c>
      <c r="R51" s="31">
        <f t="shared" si="15"/>
        <v>0</v>
      </c>
      <c r="S51" s="30">
        <f t="shared" si="0"/>
        <v>457845.080786551</v>
      </c>
      <c r="T51" s="30">
        <f t="shared" si="1"/>
        <v>2760180.58615152</v>
      </c>
      <c r="U51" s="30">
        <f t="shared" si="2"/>
        <v>0</v>
      </c>
      <c r="V51" s="30">
        <f t="shared" si="3"/>
        <v>0</v>
      </c>
      <c r="W51" s="30">
        <f t="shared" si="4"/>
        <v>0</v>
      </c>
      <c r="X51" s="30">
        <f t="shared" si="5"/>
        <v>0</v>
      </c>
      <c r="Y51" s="30">
        <f t="shared" si="6"/>
        <v>0</v>
      </c>
      <c r="Z51" s="30">
        <f t="shared" si="7"/>
        <v>0</v>
      </c>
      <c r="AA51" s="30">
        <f t="shared" si="8"/>
        <v>0</v>
      </c>
      <c r="AB51" s="30">
        <f t="shared" si="16"/>
        <v>3218025.66693807</v>
      </c>
      <c r="AC51" s="30">
        <f t="shared" si="9"/>
        <v>265708.541306813</v>
      </c>
      <c r="AD51" s="30">
        <f>IF(SUM($AC$38:AC51)&lt;$AD$35,IF(SUM($AC$38:AC51)&gt;$AD$35,$AD$35-SUM($AC$38:AC51),AC51),IF(SUM($AC$38:AC50)&lt;$AD$35,IF(SUM($AC$38:AC51)&gt;$AD$35,$AD$35-SUM($AC$38:AC50)),0))</f>
        <v>0</v>
      </c>
      <c r="AE51" s="30">
        <f t="shared" si="17"/>
        <v>2952317.12563126</v>
      </c>
      <c r="AF51" s="30">
        <f t="shared" si="10"/>
        <v>265708.541306813</v>
      </c>
      <c r="AG51" s="30">
        <f t="shared" si="18"/>
        <v>0</v>
      </c>
      <c r="AH51" s="30">
        <f ca="1">IF(OFFSET(AH50,-$C$17+1,0,1,1)&gt;0,IF((($A$17*$B$17*25)-SUM($AH$38:AH50))&gt;$AH$38,OFFSET(AH50,-$C$17+1,0,1,1),($A$17*$B$17*25)-SUM($AH$38:AH50)),0)</f>
        <v>0</v>
      </c>
      <c r="AI51" s="30">
        <f t="shared" si="19"/>
        <v>6693.66681156704</v>
      </c>
      <c r="AJ51" s="30">
        <f t="shared" si="32"/>
        <v>105332.38375</v>
      </c>
      <c r="AK51" s="30">
        <f t="shared" si="33"/>
        <v>700652.31503836</v>
      </c>
      <c r="AL51" s="30">
        <f ca="1">IF(OFFSET(AL50,-$E$17+1,0,1,1)&gt;0,IF((($D$17*25)-SUM($AL$38:AL50))&gt;$AL$38,OFFSET(AL50,-$E$17+1,0,1,1),($D$17*25)-SUM($AL$38:AL50)),0)</f>
        <v>0</v>
      </c>
      <c r="AM51" s="30">
        <f t="shared" si="20"/>
        <v>0</v>
      </c>
      <c r="AN51" s="30">
        <f t="shared" si="11"/>
        <v>26570.8541306813</v>
      </c>
      <c r="AO51" s="30">
        <f ca="1" t="shared" si="12"/>
        <v>2113067.90590065</v>
      </c>
      <c r="AP51" s="30">
        <f t="shared" si="21"/>
        <v>1055705.90625</v>
      </c>
      <c r="AQ51" s="30">
        <f t="shared" si="13"/>
        <v>1852449.86222264</v>
      </c>
      <c r="AR51" s="30">
        <f>IF(AQ51=0,0,($AQ$36-SUM($AQ$38:AQ50))*$C$29)</f>
        <v>248645.082756833</v>
      </c>
      <c r="AS51" s="30">
        <f ca="1" t="shared" si="22"/>
        <v>808716.916893816</v>
      </c>
      <c r="AT51" s="30">
        <f ca="1" t="shared" si="23"/>
        <v>202179.229223454</v>
      </c>
      <c r="AU51" s="30">
        <f ca="1" t="shared" si="24"/>
        <v>606537.687670362</v>
      </c>
      <c r="AV51" s="30">
        <f t="shared" si="34"/>
        <v>10970698.21875</v>
      </c>
      <c r="AW51" s="30">
        <f t="shared" si="25"/>
        <v>2194139.64375</v>
      </c>
      <c r="AX51" s="141">
        <f ca="1" t="shared" si="26"/>
        <v>0.188481308244965</v>
      </c>
      <c r="AY51" s="141">
        <f ca="1" t="shared" si="27"/>
        <v>0.0552870633733895</v>
      </c>
      <c r="AZ51" s="141">
        <f ca="1" t="shared" si="28"/>
        <v>0.122806389518141</v>
      </c>
      <c r="BA51" s="31">
        <f ca="1" t="shared" si="29"/>
        <v>0.34891186217552</v>
      </c>
      <c r="BB51" s="30">
        <f ca="1" t="shared" si="30"/>
        <v>1848727.40598799</v>
      </c>
      <c r="BC51" s="30">
        <f ca="1" t="shared" si="14"/>
        <v>646319.75868209</v>
      </c>
      <c r="BD51" s="30">
        <f ca="1">$BB$37+SUM($BB$38:BB51)</f>
        <v>8519462.93886716</v>
      </c>
      <c r="BE51" s="30">
        <f ca="1" t="shared" si="36"/>
        <v>264340.499912662</v>
      </c>
      <c r="BF51" s="30">
        <f ca="1" t="shared" si="35"/>
        <v>-190206.268302282</v>
      </c>
      <c r="BH51" s="30">
        <f ca="1">$BF$37+SUM($BF$38:BF51)</f>
        <v>-105987.948022936</v>
      </c>
    </row>
    <row r="52" ht="27.95" customHeight="1" spans="14:60">
      <c r="N52" s="119"/>
      <c r="P52" s="30">
        <v>15</v>
      </c>
      <c r="Q52" s="30">
        <f t="shared" si="37"/>
        <v>6669343.90808016</v>
      </c>
      <c r="R52" s="31">
        <f t="shared" si="15"/>
        <v>0</v>
      </c>
      <c r="S52" s="30">
        <f t="shared" si="0"/>
        <v>454182.320140259</v>
      </c>
      <c r="T52" s="30">
        <f t="shared" si="1"/>
        <v>2738099.14146231</v>
      </c>
      <c r="U52" s="30">
        <f t="shared" si="2"/>
        <v>0</v>
      </c>
      <c r="V52" s="30">
        <f t="shared" si="3"/>
        <v>0</v>
      </c>
      <c r="W52" s="30">
        <f t="shared" si="4"/>
        <v>0</v>
      </c>
      <c r="X52" s="30">
        <f t="shared" si="5"/>
        <v>0</v>
      </c>
      <c r="Y52" s="30">
        <f t="shared" si="6"/>
        <v>0</v>
      </c>
      <c r="Z52" s="30">
        <f t="shared" si="7"/>
        <v>0</v>
      </c>
      <c r="AA52" s="30">
        <f t="shared" si="8"/>
        <v>0</v>
      </c>
      <c r="AB52" s="30">
        <f t="shared" si="16"/>
        <v>3192281.46160257</v>
      </c>
      <c r="AC52" s="30">
        <f t="shared" si="9"/>
        <v>263582.872976359</v>
      </c>
      <c r="AD52" s="30">
        <f>IF(SUM($AC$38:AC52)&lt;$AD$35,IF(SUM($AC$38:AC52)&gt;$AD$35,$AD$35-SUM($AC$38:AC52),AC52),IF(SUM($AC$38:AC51)&lt;$AD$35,IF(SUM($AC$38:AC52)&gt;$AD$35,$AD$35-SUM($AC$38:AC51)),0))</f>
        <v>0</v>
      </c>
      <c r="AE52" s="30">
        <f t="shared" si="17"/>
        <v>2928698.58862621</v>
      </c>
      <c r="AF52" s="30">
        <f t="shared" si="10"/>
        <v>263582.872976359</v>
      </c>
      <c r="AG52" s="30">
        <f t="shared" si="18"/>
        <v>0</v>
      </c>
      <c r="AH52" s="30">
        <f ca="1">IF(OFFSET(AH51,-$C$17+1,0,1,1)&gt;0,IF((($A$17*$B$17*25)-SUM($AH$38:AH51))&gt;$AH$38,OFFSET(AH51,-$C$17+1,0,1,1),($A$17*$B$17*25)-SUM($AH$38:AH51)),0)</f>
        <v>0</v>
      </c>
      <c r="AI52" s="30">
        <f t="shared" si="19"/>
        <v>6695.67491161051</v>
      </c>
      <c r="AJ52" s="30">
        <f t="shared" si="32"/>
        <v>105332.38375</v>
      </c>
      <c r="AK52" s="30">
        <f t="shared" si="33"/>
        <v>725175.146064703</v>
      </c>
      <c r="AL52" s="30">
        <f ca="1">IF(OFFSET(AL51,-$E$17+1,0,1,1)&gt;0,IF((($D$17*25)-SUM($AL$38:AL51))&gt;$AL$38,OFFSET(AL51,-$E$17+1,0,1,1),($D$17*25)-SUM($AL$38:AL51)),0)</f>
        <v>0</v>
      </c>
      <c r="AM52" s="30">
        <f t="shared" si="20"/>
        <v>0</v>
      </c>
      <c r="AN52" s="30">
        <f t="shared" si="11"/>
        <v>26358.2872976359</v>
      </c>
      <c r="AO52" s="30">
        <f ca="1" t="shared" si="12"/>
        <v>2065137.09660226</v>
      </c>
      <c r="AP52" s="30">
        <f t="shared" si="21"/>
        <v>1055705.90625</v>
      </c>
      <c r="AQ52" s="30">
        <f t="shared" si="13"/>
        <v>1972859.10326712</v>
      </c>
      <c r="AR52" s="30">
        <f>IF(AQ52=0,0,($AQ$36-SUM($AQ$38:AQ51))*$C$29)</f>
        <v>128235.841712361</v>
      </c>
      <c r="AS52" s="30">
        <f ca="1" t="shared" si="22"/>
        <v>881195.348639898</v>
      </c>
      <c r="AT52" s="30">
        <f ca="1" t="shared" si="23"/>
        <v>220298.837159974</v>
      </c>
      <c r="AU52" s="30">
        <f ca="1" t="shared" si="24"/>
        <v>660896.511479923</v>
      </c>
      <c r="AV52" s="30">
        <f t="shared" si="34"/>
        <v>9914992.3125</v>
      </c>
      <c r="AW52" s="30">
        <f t="shared" si="25"/>
        <v>1982998.4625</v>
      </c>
      <c r="AX52" s="141">
        <f ca="1" t="shared" si="26"/>
        <v>0.207029524003233</v>
      </c>
      <c r="AY52" s="141">
        <f ca="1" t="shared" si="27"/>
        <v>0.0666562807766094</v>
      </c>
      <c r="AZ52" s="141">
        <f ca="1" t="shared" si="28"/>
        <v>0.133812483659043</v>
      </c>
      <c r="BA52" s="31">
        <f ca="1" t="shared" si="29"/>
        <v>0.340033758702825</v>
      </c>
      <c r="BB52" s="30">
        <f ca="1" t="shared" si="30"/>
        <v>1812779.29901419</v>
      </c>
      <c r="BC52" s="30">
        <f ca="1" t="shared" si="14"/>
        <v>587919.234835703</v>
      </c>
      <c r="BD52" s="30">
        <f ca="1">$BB$37+SUM($BB$38:BB52)</f>
        <v>10332242.2378814</v>
      </c>
      <c r="BE52" s="30">
        <f ca="1" t="shared" si="36"/>
        <v>252357.797588065</v>
      </c>
      <c r="BF52" s="30">
        <f ca="1" t="shared" si="35"/>
        <v>-256256.685537193</v>
      </c>
      <c r="BH52" s="30">
        <f ca="1">$BF$37+SUM($BF$38:BF52)</f>
        <v>-362244.633560129</v>
      </c>
    </row>
    <row r="53" ht="27.95" customHeight="1" spans="14:60">
      <c r="N53" s="119"/>
      <c r="P53" s="30">
        <v>16</v>
      </c>
      <c r="Q53" s="30">
        <f t="shared" si="37"/>
        <v>6615989.15681551</v>
      </c>
      <c r="R53" s="31">
        <f t="shared" si="15"/>
        <v>0</v>
      </c>
      <c r="S53" s="30">
        <f t="shared" si="0"/>
        <v>450548.861579137</v>
      </c>
      <c r="T53" s="30">
        <f t="shared" si="1"/>
        <v>2716194.34833061</v>
      </c>
      <c r="U53" s="30">
        <f t="shared" si="2"/>
        <v>0</v>
      </c>
      <c r="V53" s="30">
        <f t="shared" si="3"/>
        <v>0</v>
      </c>
      <c r="W53" s="30">
        <f t="shared" si="4"/>
        <v>0</v>
      </c>
      <c r="X53" s="30">
        <f t="shared" si="5"/>
        <v>0</v>
      </c>
      <c r="Y53" s="30">
        <f t="shared" si="6"/>
        <v>0</v>
      </c>
      <c r="Z53" s="30">
        <f t="shared" si="7"/>
        <v>0</v>
      </c>
      <c r="AA53" s="30">
        <f t="shared" si="8"/>
        <v>0</v>
      </c>
      <c r="AB53" s="30">
        <f t="shared" si="16"/>
        <v>3166743.20990975</v>
      </c>
      <c r="AC53" s="30">
        <f t="shared" si="9"/>
        <v>261474.209992548</v>
      </c>
      <c r="AD53" s="30">
        <f>IF(SUM($AC$38:AC53)&lt;$AD$35,IF(SUM($AC$38:AC53)&gt;$AD$35,$AD$35-SUM($AC$38:AC53),AC53),IF(SUM($AC$38:AC52)&lt;$AD$35,IF(SUM($AC$38:AC53)&gt;$AD$35,$AD$35-SUM($AC$38:AC52)),0))</f>
        <v>0</v>
      </c>
      <c r="AE53" s="30">
        <f t="shared" si="17"/>
        <v>2905268.9999172</v>
      </c>
      <c r="AF53" s="30">
        <f t="shared" si="10"/>
        <v>261474.209992548</v>
      </c>
      <c r="AG53" s="30">
        <f t="shared" si="18"/>
        <v>0</v>
      </c>
      <c r="AH53" s="30">
        <f ca="1">IF(OFFSET(AH52,-$C$17+1,0,1,1)&gt;0,IF((($A$17*$B$17*25)-SUM($AH$38:AH52))&gt;$AH$38,OFFSET(AH52,-$C$17+1,0,1,1),($A$17*$B$17*25)-SUM($AH$38:AH52)),0)</f>
        <v>0</v>
      </c>
      <c r="AI53" s="30">
        <f t="shared" si="19"/>
        <v>6697.68361408399</v>
      </c>
      <c r="AJ53" s="30">
        <f t="shared" si="32"/>
        <v>105332.38375</v>
      </c>
      <c r="AK53" s="30">
        <f t="shared" si="33"/>
        <v>750556.276176967</v>
      </c>
      <c r="AL53" s="30">
        <f ca="1">IF(OFFSET(AL52,-$E$17+1,0,1,1)&gt;0,IF((($D$17*25)-SUM($AL$38:AL52))&gt;$AL$38,OFFSET(AL52,-$E$17+1,0,1,1),($D$17*25)-SUM($AL$38:AL52)),0)</f>
        <v>0</v>
      </c>
      <c r="AM53" s="30">
        <f t="shared" si="20"/>
        <v>0</v>
      </c>
      <c r="AN53" s="30">
        <f t="shared" si="11"/>
        <v>26147.4209992548</v>
      </c>
      <c r="AO53" s="30">
        <f ca="1" t="shared" si="12"/>
        <v>2016535.23537689</v>
      </c>
      <c r="AP53" s="30">
        <f t="shared" si="21"/>
        <v>1055705.90625</v>
      </c>
      <c r="AQ53" s="30">
        <f t="shared" si="13"/>
        <v>0</v>
      </c>
      <c r="AR53" s="30">
        <f>IF(AQ53=0,0,($AQ$36-SUM($AQ$38:AQ52))*$C$29)</f>
        <v>0</v>
      </c>
      <c r="AS53" s="30">
        <f ca="1" t="shared" si="22"/>
        <v>960829.329126892</v>
      </c>
      <c r="AT53" s="30">
        <f ca="1" t="shared" si="23"/>
        <v>240207.332281723</v>
      </c>
      <c r="AU53" s="30">
        <f ca="1" t="shared" si="24"/>
        <v>720621.996845169</v>
      </c>
      <c r="AV53" s="30">
        <f t="shared" si="34"/>
        <v>8859286.40625</v>
      </c>
      <c r="AW53" s="30">
        <f t="shared" si="25"/>
        <v>1771857.28125</v>
      </c>
      <c r="AX53" s="141">
        <f ca="1" t="shared" si="26"/>
        <v>0.227559340646919</v>
      </c>
      <c r="AY53" s="141">
        <f ca="1" t="shared" si="27"/>
        <v>0.0813408624352396</v>
      </c>
      <c r="AZ53" s="141">
        <f ca="1" t="shared" si="28"/>
        <v>0.145905171993211</v>
      </c>
      <c r="BA53" s="31">
        <f ca="1" t="shared" si="29"/>
        <v>0.330207161966325</v>
      </c>
      <c r="BB53" s="30">
        <f ca="1" t="shared" si="30"/>
        <v>1776327.90309517</v>
      </c>
      <c r="BC53" s="30">
        <f ca="1" t="shared" si="14"/>
        <v>534433.971326427</v>
      </c>
      <c r="BD53" s="30">
        <f ca="1">$BB$37+SUM($BB$38:BB53)</f>
        <v>12108570.1409765</v>
      </c>
      <c r="BE53" s="30">
        <f ca="1" t="shared" si="36"/>
        <v>240207.332281723</v>
      </c>
      <c r="BF53" s="30">
        <f ca="1" t="shared" si="35"/>
        <v>1776327.90309517</v>
      </c>
      <c r="BH53" s="30">
        <f ca="1">$BF$37+SUM($BF$38:BF53)</f>
        <v>1414083.26953504</v>
      </c>
    </row>
    <row r="54" ht="27.95" customHeight="1" spans="14:60">
      <c r="N54" s="119"/>
      <c r="P54" s="30">
        <v>17</v>
      </c>
      <c r="Q54" s="30">
        <f t="shared" si="37"/>
        <v>6563061.24356099</v>
      </c>
      <c r="R54" s="31">
        <f t="shared" si="15"/>
        <v>0</v>
      </c>
      <c r="S54" s="30">
        <f t="shared" si="0"/>
        <v>446944.470686504</v>
      </c>
      <c r="T54" s="30">
        <f t="shared" si="1"/>
        <v>2694464.79354396</v>
      </c>
      <c r="U54" s="30">
        <f t="shared" si="2"/>
        <v>0</v>
      </c>
      <c r="V54" s="30">
        <f t="shared" si="3"/>
        <v>0</v>
      </c>
      <c r="W54" s="30">
        <f t="shared" si="4"/>
        <v>0</v>
      </c>
      <c r="X54" s="30">
        <f t="shared" si="5"/>
        <v>0</v>
      </c>
      <c r="Y54" s="30">
        <f t="shared" si="6"/>
        <v>0</v>
      </c>
      <c r="Z54" s="30">
        <f t="shared" si="7"/>
        <v>0</v>
      </c>
      <c r="AA54" s="30">
        <f t="shared" si="8"/>
        <v>0</v>
      </c>
      <c r="AB54" s="30">
        <f t="shared" si="16"/>
        <v>3141409.26423047</v>
      </c>
      <c r="AC54" s="30">
        <f t="shared" si="9"/>
        <v>259382.416312607</v>
      </c>
      <c r="AD54" s="30">
        <f>IF(SUM($AC$38:AC54)&lt;$AD$35,IF(SUM($AC$38:AC54)&gt;$AD$35,$AD$35-SUM($AC$38:AC54),AC54),IF(SUM($AC$38:AC53)&lt;$AD$35,IF(SUM($AC$38:AC54)&gt;$AD$35,$AD$35-SUM($AC$38:AC53)),0))</f>
        <v>0</v>
      </c>
      <c r="AE54" s="30">
        <f t="shared" si="17"/>
        <v>2882026.84791786</v>
      </c>
      <c r="AF54" s="30">
        <f t="shared" si="10"/>
        <v>259382.416312607</v>
      </c>
      <c r="AG54" s="30">
        <f t="shared" si="18"/>
        <v>0</v>
      </c>
      <c r="AH54" s="30">
        <f ca="1">IF(OFFSET(AH53,-$C$17+1,0,1,1)&gt;0,IF((($A$17*$B$17*25)-SUM($AH$38:AH53))&gt;$AH$38,OFFSET(AH53,-$C$17+1,0,1,1),($A$17*$B$17*25)-SUM($AH$38:AH53)),0)</f>
        <v>0</v>
      </c>
      <c r="AI54" s="30">
        <f t="shared" si="19"/>
        <v>6699.69291916822</v>
      </c>
      <c r="AJ54" s="30">
        <f t="shared" si="32"/>
        <v>105332.38375</v>
      </c>
      <c r="AK54" s="30">
        <f t="shared" si="33"/>
        <v>776825.745843161</v>
      </c>
      <c r="AL54" s="30">
        <f ca="1">IF(OFFSET(AL53,-$E$17+1,0,1,1)&gt;0,IF((($D$17*25)-SUM($AL$38:AL53))&gt;$AL$38,OFFSET(AL53,-$E$17+1,0,1,1),($D$17*25)-SUM($AL$38:AL53)),0)</f>
        <v>0</v>
      </c>
      <c r="AM54" s="30">
        <f t="shared" si="20"/>
        <v>0</v>
      </c>
      <c r="AN54" s="30">
        <f t="shared" si="11"/>
        <v>25938.2416312607</v>
      </c>
      <c r="AO54" s="30">
        <f ca="1" t="shared" si="12"/>
        <v>1967230.78377427</v>
      </c>
      <c r="AP54" s="30">
        <f t="shared" si="21"/>
        <v>1055705.90625</v>
      </c>
      <c r="AQ54" s="30">
        <f t="shared" si="13"/>
        <v>0</v>
      </c>
      <c r="AR54" s="30">
        <f>IF(AQ54=0,0,($AQ$36-SUM($AQ$38:AQ53))*$C$29)</f>
        <v>0</v>
      </c>
      <c r="AS54" s="30">
        <f ca="1" t="shared" si="22"/>
        <v>911524.87752427</v>
      </c>
      <c r="AT54" s="30">
        <f ca="1" t="shared" si="23"/>
        <v>227881.219381068</v>
      </c>
      <c r="AU54" s="30">
        <f ca="1" t="shared" si="24"/>
        <v>683643.658143203</v>
      </c>
      <c r="AV54" s="30">
        <f t="shared" si="34"/>
        <v>7803580.5</v>
      </c>
      <c r="AW54" s="30">
        <f t="shared" si="25"/>
        <v>1560716.1</v>
      </c>
      <c r="AX54" s="141">
        <f ca="1" t="shared" si="26"/>
        <v>0.217623238693374</v>
      </c>
      <c r="AY54" s="141">
        <f ca="1" t="shared" si="27"/>
        <v>0.0876064081280642</v>
      </c>
      <c r="AZ54" s="141">
        <f ca="1" t="shared" si="28"/>
        <v>0.138418124842341</v>
      </c>
      <c r="BA54" s="31">
        <f ca="1" t="shared" si="29"/>
        <v>0.334963077166389</v>
      </c>
      <c r="BB54" s="30">
        <f ca="1" t="shared" si="30"/>
        <v>1739349.5643932</v>
      </c>
      <c r="BC54" s="30">
        <f ca="1" t="shared" si="14"/>
        <v>485462.819156654</v>
      </c>
      <c r="BD54" s="30">
        <f ca="1">$BB$37+SUM($BB$38:BB54)</f>
        <v>13847919.7053697</v>
      </c>
      <c r="BE54" s="30">
        <f ca="1" t="shared" si="36"/>
        <v>227881.219381068</v>
      </c>
      <c r="BF54" s="30">
        <f ca="1" t="shared" si="35"/>
        <v>1739349.5643932</v>
      </c>
      <c r="BH54" s="30">
        <f ca="1">$BF$37+SUM($BF$38:BF54)</f>
        <v>3153432.83392824</v>
      </c>
    </row>
    <row r="55" ht="27.95" customHeight="1" spans="14:60">
      <c r="N55" s="119"/>
      <c r="P55" s="30">
        <v>18</v>
      </c>
      <c r="Q55" s="30">
        <f t="shared" si="37"/>
        <v>6510556.7536125</v>
      </c>
      <c r="R55" s="31">
        <f t="shared" si="15"/>
        <v>0</v>
      </c>
      <c r="S55" s="30">
        <f t="shared" si="0"/>
        <v>443368.914921012</v>
      </c>
      <c r="T55" s="30">
        <f t="shared" si="1"/>
        <v>2672909.07519561</v>
      </c>
      <c r="U55" s="30">
        <f t="shared" si="2"/>
        <v>0</v>
      </c>
      <c r="V55" s="30">
        <f t="shared" si="3"/>
        <v>0</v>
      </c>
      <c r="W55" s="30">
        <f t="shared" si="4"/>
        <v>0</v>
      </c>
      <c r="X55" s="30">
        <f t="shared" si="5"/>
        <v>0</v>
      </c>
      <c r="Y55" s="30">
        <f t="shared" si="6"/>
        <v>0</v>
      </c>
      <c r="Z55" s="30">
        <f t="shared" si="7"/>
        <v>0</v>
      </c>
      <c r="AA55" s="30">
        <f t="shared" si="8"/>
        <v>0</v>
      </c>
      <c r="AB55" s="30">
        <f t="shared" si="16"/>
        <v>3116277.99011662</v>
      </c>
      <c r="AC55" s="30">
        <f t="shared" si="9"/>
        <v>257307.356982107</v>
      </c>
      <c r="AD55" s="30">
        <f>IF(SUM($AC$38:AC55)&lt;$AD$35,IF(SUM($AC$38:AC55)&gt;$AD$35,$AD$35-SUM($AC$38:AC55),AC55),IF(SUM($AC$38:AC54)&lt;$AD$35,IF(SUM($AC$38:AC55)&gt;$AD$35,$AD$35-SUM($AC$38:AC54)),0))</f>
        <v>0</v>
      </c>
      <c r="AE55" s="30">
        <f t="shared" si="17"/>
        <v>2858970.63313452</v>
      </c>
      <c r="AF55" s="30">
        <f t="shared" si="10"/>
        <v>257307.356982107</v>
      </c>
      <c r="AG55" s="30">
        <f t="shared" si="18"/>
        <v>0</v>
      </c>
      <c r="AH55" s="30">
        <f ca="1">IF(OFFSET(AH54,-$C$17+1,0,1,1)&gt;0,IF((($A$17*$B$17*25)-SUM($AH$38:AH54))&gt;$AH$38,OFFSET(AH54,-$C$17+1,0,1,1),($A$17*$B$17*25)-SUM($AH$38:AH54)),0)</f>
        <v>0</v>
      </c>
      <c r="AI55" s="30">
        <f t="shared" si="19"/>
        <v>6701.70282704397</v>
      </c>
      <c r="AJ55" s="30">
        <f t="shared" si="32"/>
        <v>105332.38375</v>
      </c>
      <c r="AK55" s="30">
        <f t="shared" si="33"/>
        <v>804014.646947672</v>
      </c>
      <c r="AL55" s="30">
        <f ca="1">IF(OFFSET(AL54,-$E$17+1,0,1,1)&gt;0,IF((($D$17*25)-SUM($AL$38:AL54))&gt;$AL$38,OFFSET(AL54,-$E$17+1,0,1,1),($D$17*25)-SUM($AL$38:AL54)),0)</f>
        <v>0</v>
      </c>
      <c r="AM55" s="30">
        <f t="shared" si="20"/>
        <v>0</v>
      </c>
      <c r="AN55" s="30">
        <f t="shared" si="11"/>
        <v>25730.7356982107</v>
      </c>
      <c r="AO55" s="30">
        <f ca="1" t="shared" si="12"/>
        <v>1917191.16391159</v>
      </c>
      <c r="AP55" s="30">
        <f t="shared" si="21"/>
        <v>1055705.90625</v>
      </c>
      <c r="AQ55" s="30">
        <f t="shared" si="13"/>
        <v>0</v>
      </c>
      <c r="AR55" s="30">
        <f>IF(AQ55=0,0,($AQ$36-SUM($AQ$38:AQ54))*$C$29)</f>
        <v>0</v>
      </c>
      <c r="AS55" s="30">
        <f ca="1" t="shared" si="22"/>
        <v>861485.257661592</v>
      </c>
      <c r="AT55" s="30">
        <f ca="1" t="shared" si="23"/>
        <v>215371.314415398</v>
      </c>
      <c r="AU55" s="30">
        <f ca="1" t="shared" si="24"/>
        <v>646113.943246194</v>
      </c>
      <c r="AV55" s="30">
        <f t="shared" si="34"/>
        <v>6747874.59375</v>
      </c>
      <c r="AW55" s="30">
        <f t="shared" si="25"/>
        <v>1349574.91875</v>
      </c>
      <c r="AX55" s="141">
        <f ca="1" t="shared" si="26"/>
        <v>0.207335143172517</v>
      </c>
      <c r="AY55" s="141">
        <f ca="1" t="shared" si="27"/>
        <v>0.0957507336968942</v>
      </c>
      <c r="AZ55" s="141">
        <f ca="1" t="shared" si="28"/>
        <v>0.130819439913382</v>
      </c>
      <c r="BA55" s="31">
        <f ca="1" t="shared" si="29"/>
        <v>0.339887474087447</v>
      </c>
      <c r="BB55" s="30">
        <f ca="1" t="shared" si="30"/>
        <v>1701819.84949619</v>
      </c>
      <c r="BC55" s="30">
        <f ca="1" t="shared" si="14"/>
        <v>440636.904904741</v>
      </c>
      <c r="BD55" s="30">
        <f ca="1">$BB$37+SUM($BB$38:BB55)</f>
        <v>15549739.5548659</v>
      </c>
      <c r="BE55" s="30">
        <f ca="1" t="shared" si="36"/>
        <v>215371.314415398</v>
      </c>
      <c r="BF55" s="30">
        <f ca="1" t="shared" si="35"/>
        <v>1701819.84949619</v>
      </c>
      <c r="BH55" s="30">
        <f ca="1">$BF$37+SUM($BF$38:BF55)</f>
        <v>4855252.68342444</v>
      </c>
    </row>
    <row r="56" ht="27.95" customHeight="1" spans="14:60">
      <c r="N56" s="119"/>
      <c r="P56" s="30">
        <v>19</v>
      </c>
      <c r="Q56" s="30">
        <f t="shared" si="37"/>
        <v>6458472.2995836</v>
      </c>
      <c r="R56" s="31">
        <f t="shared" si="15"/>
        <v>0</v>
      </c>
      <c r="S56" s="30">
        <f t="shared" si="0"/>
        <v>439821.963601643</v>
      </c>
      <c r="T56" s="30">
        <f t="shared" si="1"/>
        <v>2651525.80259405</v>
      </c>
      <c r="U56" s="30">
        <f t="shared" si="2"/>
        <v>0</v>
      </c>
      <c r="V56" s="30">
        <f t="shared" si="3"/>
        <v>0</v>
      </c>
      <c r="W56" s="30">
        <f t="shared" si="4"/>
        <v>0</v>
      </c>
      <c r="X56" s="30">
        <f t="shared" si="5"/>
        <v>0</v>
      </c>
      <c r="Y56" s="30">
        <f t="shared" si="6"/>
        <v>0</v>
      </c>
      <c r="Z56" s="30">
        <f t="shared" si="7"/>
        <v>0</v>
      </c>
      <c r="AA56" s="30">
        <f t="shared" si="8"/>
        <v>0</v>
      </c>
      <c r="AB56" s="30">
        <f t="shared" si="16"/>
        <v>3091347.76619569</v>
      </c>
      <c r="AC56" s="30">
        <f t="shared" si="9"/>
        <v>255248.89812625</v>
      </c>
      <c r="AD56" s="30">
        <f>IF(SUM($AC$38:AC56)&lt;$AD$35,IF(SUM($AC$38:AC56)&gt;$AD$35,$AD$35-SUM($AC$38:AC56),AC56),IF(SUM($AC$38:AC55)&lt;$AD$35,IF(SUM($AC$38:AC56)&gt;$AD$35,$AD$35-SUM($AC$38:AC55)),0))</f>
        <v>0</v>
      </c>
      <c r="AE56" s="30">
        <f t="shared" si="17"/>
        <v>2836098.86806944</v>
      </c>
      <c r="AF56" s="30">
        <f t="shared" si="10"/>
        <v>255248.89812625</v>
      </c>
      <c r="AG56" s="30">
        <f t="shared" si="18"/>
        <v>0</v>
      </c>
      <c r="AH56" s="30">
        <f ca="1">IF(OFFSET(AH55,-$C$17+1,0,1,1)&gt;0,IF((($A$17*$B$17*25)-SUM($AH$38:AH55))&gt;$AH$38,OFFSET(AH55,-$C$17+1,0,1,1),($A$17*$B$17*25)-SUM($AH$38:AH55)),0)</f>
        <v>0</v>
      </c>
      <c r="AI56" s="30">
        <f t="shared" si="19"/>
        <v>6703.71333789208</v>
      </c>
      <c r="AJ56" s="30">
        <f t="shared" si="32"/>
        <v>105332.38375</v>
      </c>
      <c r="AK56" s="30">
        <f t="shared" si="33"/>
        <v>832155.15959084</v>
      </c>
      <c r="AL56" s="30">
        <f ca="1">IF(OFFSET(AL55,-$E$17+1,0,1,1)&gt;0,IF((($D$17*25)-SUM($AL$38:AL55))&gt;$AL$38,OFFSET(AL55,-$E$17+1,0,1,1),($D$17*25)-SUM($AL$38:AL55)),0)</f>
        <v>0</v>
      </c>
      <c r="AM56" s="30">
        <f t="shared" si="20"/>
        <v>0</v>
      </c>
      <c r="AN56" s="30">
        <f t="shared" si="11"/>
        <v>25524.889812625</v>
      </c>
      <c r="AO56" s="30">
        <f ca="1" t="shared" si="12"/>
        <v>1866382.72157808</v>
      </c>
      <c r="AP56" s="30">
        <f t="shared" si="21"/>
        <v>1055705.90625</v>
      </c>
      <c r="AQ56" s="30">
        <f t="shared" si="13"/>
        <v>0</v>
      </c>
      <c r="AR56" s="30">
        <f>IF(AQ56=0,0,($AQ$36-SUM($AQ$38:AQ55))*$C$29)</f>
        <v>0</v>
      </c>
      <c r="AS56" s="30">
        <f ca="1" t="shared" si="22"/>
        <v>810676.815328085</v>
      </c>
      <c r="AT56" s="30">
        <f ca="1" t="shared" si="23"/>
        <v>202669.203832021</v>
      </c>
      <c r="AU56" s="30">
        <f ca="1" t="shared" si="24"/>
        <v>608007.611496063</v>
      </c>
      <c r="AV56" s="30">
        <f t="shared" si="34"/>
        <v>5692168.6875</v>
      </c>
      <c r="AW56" s="30">
        <f t="shared" si="25"/>
        <v>1138433.7375</v>
      </c>
      <c r="AX56" s="141">
        <f ca="1" t="shared" si="26"/>
        <v>0.196680431151975</v>
      </c>
      <c r="AY56" s="141">
        <f ca="1" t="shared" si="27"/>
        <v>0.106814756356615</v>
      </c>
      <c r="AZ56" s="141">
        <f ca="1" t="shared" si="28"/>
        <v>0.123104006700998</v>
      </c>
      <c r="BA56" s="31">
        <f ca="1" t="shared" si="29"/>
        <v>0.34498735199608</v>
      </c>
      <c r="BB56" s="30">
        <f ca="1" t="shared" si="30"/>
        <v>1663713.51774606</v>
      </c>
      <c r="BC56" s="30">
        <f ca="1" t="shared" si="14"/>
        <v>399617.051301307</v>
      </c>
      <c r="BD56" s="30">
        <f ca="1">$BB$37+SUM($BB$38:BB56)</f>
        <v>17213453.072612</v>
      </c>
      <c r="BE56" s="30">
        <f ca="1" t="shared" si="36"/>
        <v>202669.203832021</v>
      </c>
      <c r="BF56" s="30">
        <f ca="1" t="shared" si="35"/>
        <v>1663713.51774606</v>
      </c>
      <c r="BH56" s="30">
        <f ca="1">$BF$37+SUM($BF$38:BF56)</f>
        <v>6518966.2011705</v>
      </c>
    </row>
    <row r="57" ht="27.95" customHeight="1" spans="14:60">
      <c r="N57" s="119"/>
      <c r="P57" s="30">
        <v>20</v>
      </c>
      <c r="Q57" s="30">
        <f t="shared" si="37"/>
        <v>6406804.52118693</v>
      </c>
      <c r="R57" s="31">
        <f t="shared" si="15"/>
        <v>0</v>
      </c>
      <c r="S57" s="30">
        <f t="shared" si="0"/>
        <v>436303.38789283</v>
      </c>
      <c r="T57" s="30">
        <f t="shared" si="1"/>
        <v>2630313.5961733</v>
      </c>
      <c r="U57" s="30">
        <f t="shared" si="2"/>
        <v>0</v>
      </c>
      <c r="V57" s="30">
        <f t="shared" si="3"/>
        <v>0</v>
      </c>
      <c r="W57" s="30">
        <f t="shared" si="4"/>
        <v>0</v>
      </c>
      <c r="X57" s="30">
        <f t="shared" si="5"/>
        <v>0</v>
      </c>
      <c r="Y57" s="30">
        <f t="shared" si="6"/>
        <v>0</v>
      </c>
      <c r="Z57" s="30">
        <f t="shared" si="7"/>
        <v>0</v>
      </c>
      <c r="AA57" s="30">
        <f t="shared" si="8"/>
        <v>0</v>
      </c>
      <c r="AB57" s="30">
        <f t="shared" si="16"/>
        <v>3066616.98406613</v>
      </c>
      <c r="AC57" s="30">
        <f t="shared" si="9"/>
        <v>253206.90694124</v>
      </c>
      <c r="AD57" s="30">
        <f>IF(SUM($AC$38:AC57)&lt;$AD$35,IF(SUM($AC$38:AC57)&gt;$AD$35,$AD$35-SUM($AC$38:AC57),AC57),IF(SUM($AC$38:AC56)&lt;$AD$35,IF(SUM($AC$38:AC57)&gt;$AD$35,$AD$35-SUM($AC$38:AC56)),0))</f>
        <v>0</v>
      </c>
      <c r="AE57" s="30">
        <f t="shared" si="17"/>
        <v>2813410.07712489</v>
      </c>
      <c r="AF57" s="30">
        <f t="shared" si="10"/>
        <v>253206.90694124</v>
      </c>
      <c r="AG57" s="30">
        <f t="shared" si="18"/>
        <v>0</v>
      </c>
      <c r="AH57" s="30">
        <f ca="1">IF(OFFSET(AH56,-$C$17+1,0,1,1)&gt;0,IF((($A$17*$B$17*25)-SUM($AH$38:AH56))&gt;$AH$38,OFFSET(AH56,-$C$17+1,0,1,1),($A$17*$B$17*25)-SUM($AH$38:AH56)),0)</f>
        <v>0</v>
      </c>
      <c r="AI57" s="30">
        <f t="shared" si="19"/>
        <v>6705.72445189345</v>
      </c>
      <c r="AJ57" s="30">
        <f t="shared" si="32"/>
        <v>105332.38375</v>
      </c>
      <c r="AK57" s="30">
        <f t="shared" si="33"/>
        <v>861280.590176519</v>
      </c>
      <c r="AL57" s="30">
        <f ca="1">IF(OFFSET(AL56,-$E$17+1,0,1,1)&gt;0,IF((($D$17*25)-SUM($AL$38:AL56))&gt;$AL$38,OFFSET(AL56,-$E$17+1,0,1,1),($D$17*25)-SUM($AL$38:AL56)),0)</f>
        <v>0</v>
      </c>
      <c r="AM57" s="30">
        <f t="shared" si="20"/>
        <v>0</v>
      </c>
      <c r="AN57" s="30">
        <f t="shared" si="11"/>
        <v>25320.690694124</v>
      </c>
      <c r="AO57" s="30">
        <f ca="1" t="shared" si="12"/>
        <v>1814770.68805235</v>
      </c>
      <c r="AP57" s="30">
        <f t="shared" si="21"/>
        <v>1055705.90625</v>
      </c>
      <c r="AQ57" s="30">
        <f t="shared" si="13"/>
        <v>0</v>
      </c>
      <c r="AR57" s="30">
        <f>IF(AQ57=0,0,($AQ$36-SUM($AQ$38:AQ56))*$C$29)</f>
        <v>0</v>
      </c>
      <c r="AS57" s="30">
        <f ca="1" t="shared" si="22"/>
        <v>759064.781802349</v>
      </c>
      <c r="AT57" s="30">
        <f ca="1" t="shared" si="23"/>
        <v>189766.195450587</v>
      </c>
      <c r="AU57" s="30">
        <f ca="1" t="shared" si="24"/>
        <v>569298.586351762</v>
      </c>
      <c r="AV57" s="30">
        <f t="shared" si="34"/>
        <v>4636462.78125</v>
      </c>
      <c r="AW57" s="30">
        <f t="shared" si="25"/>
        <v>927292.556249999</v>
      </c>
      <c r="AX57" s="141">
        <f ca="1" t="shared" si="26"/>
        <v>0.185643850963387</v>
      </c>
      <c r="AY57" s="141">
        <f ca="1" t="shared" si="27"/>
        <v>0.122787265467551</v>
      </c>
      <c r="AZ57" s="141">
        <f ca="1" t="shared" si="28"/>
        <v>0.115266545457663</v>
      </c>
      <c r="BA57" s="31">
        <f ca="1" t="shared" si="29"/>
        <v>0.350270011103347</v>
      </c>
      <c r="BB57" s="30">
        <f ca="1" t="shared" si="30"/>
        <v>1625004.49260176</v>
      </c>
      <c r="BC57" s="30">
        <f ca="1" t="shared" si="14"/>
        <v>362091.403306156</v>
      </c>
      <c r="BD57" s="30">
        <f ca="1">$BB$37+SUM($BB$38:BB57)</f>
        <v>18838457.5652137</v>
      </c>
      <c r="BE57" s="30">
        <f ca="1" t="shared" si="36"/>
        <v>189766.195450587</v>
      </c>
      <c r="BF57" s="30">
        <f ca="1" t="shared" si="35"/>
        <v>1625004.49260176</v>
      </c>
      <c r="BH57" s="30">
        <f ca="1">$BF$37+SUM($BF$38:BF57)</f>
        <v>8143970.69377226</v>
      </c>
    </row>
    <row r="58" ht="27.95" customHeight="1" spans="16:60">
      <c r="P58" s="30">
        <v>21</v>
      </c>
      <c r="Q58" s="30">
        <f t="shared" si="37"/>
        <v>6355550.08501744</v>
      </c>
      <c r="R58" s="31">
        <f t="shared" si="15"/>
        <v>0</v>
      </c>
      <c r="S58" s="30">
        <f t="shared" si="0"/>
        <v>432812.960789688</v>
      </c>
      <c r="T58" s="30">
        <f t="shared" si="1"/>
        <v>2609271.08740391</v>
      </c>
      <c r="U58" s="30">
        <f t="shared" si="2"/>
        <v>0</v>
      </c>
      <c r="V58" s="30">
        <f t="shared" si="3"/>
        <v>0</v>
      </c>
      <c r="W58" s="30">
        <f t="shared" si="4"/>
        <v>0</v>
      </c>
      <c r="X58" s="30">
        <f t="shared" si="5"/>
        <v>0</v>
      </c>
      <c r="Y58" s="30">
        <f t="shared" si="6"/>
        <v>0</v>
      </c>
      <c r="Z58" s="30">
        <f t="shared" si="7"/>
        <v>0</v>
      </c>
      <c r="AA58" s="30">
        <f t="shared" si="8"/>
        <v>0</v>
      </c>
      <c r="AB58" s="30">
        <f t="shared" si="16"/>
        <v>3042084.0481936</v>
      </c>
      <c r="AC58" s="30">
        <f t="shared" si="9"/>
        <v>251181.25168571</v>
      </c>
      <c r="AD58" s="30">
        <f>IF(SUM($AC$38:AC58)&lt;$AD$35,IF(SUM($AC$38:AC58)&gt;$AD$35,$AD$35-SUM($AC$38:AC58),AC58),IF(SUM($AC$38:AC57)&lt;$AD$35,IF(SUM($AC$38:AC58)&gt;$AD$35,$AD$35-SUM($AC$38:AC57)),0))</f>
        <v>0</v>
      </c>
      <c r="AE58" s="30">
        <f t="shared" si="17"/>
        <v>2790902.79650789</v>
      </c>
      <c r="AF58" s="30">
        <f t="shared" si="10"/>
        <v>251181.25168571</v>
      </c>
      <c r="AG58" s="30">
        <f t="shared" si="18"/>
        <v>0</v>
      </c>
      <c r="AH58" s="30">
        <f ca="1">IF(OFFSET(AH57,-$C$17+1,0,1,1)&gt;0,IF((($A$17*$B$17*25)-SUM($AH$38:AH57))&gt;$AH$38,OFFSET(AH57,-$C$17+1,0,1,1),($A$17*$B$17*25)-SUM($AH$38:AH57)),0)</f>
        <v>0</v>
      </c>
      <c r="AI58" s="30">
        <f t="shared" si="19"/>
        <v>6707.73616922902</v>
      </c>
      <c r="AJ58" s="30">
        <f t="shared" si="32"/>
        <v>105332.38375</v>
      </c>
      <c r="AK58" s="30">
        <f t="shared" si="33"/>
        <v>891425.410832698</v>
      </c>
      <c r="AL58" s="30">
        <f ca="1">IF(OFFSET(AL57,-$E$17+1,0,1,1)&gt;0,IF((($D$17*25)-SUM($AL$38:AL57))&gt;$AL$38,OFFSET(AL57,-$E$17+1,0,1,1),($D$17*25)-SUM($AL$38:AL57)),0)</f>
        <v>0</v>
      </c>
      <c r="AM58" s="30">
        <f t="shared" si="20"/>
        <v>0</v>
      </c>
      <c r="AN58" s="30">
        <f t="shared" si="11"/>
        <v>25118.125168571</v>
      </c>
      <c r="AO58" s="30">
        <f ca="1" t="shared" si="12"/>
        <v>1762319.14058739</v>
      </c>
      <c r="AP58" s="30">
        <f>IF(P58&lt;=$F$29,AP57,IF(P38&lt;=$F$29,($C$5*1000000*SUM($A$25:$I$25)*$G$29*(1-$G$29)*(1-$D$41)/$F$29)/(25-$F$29),0))</f>
        <v>10557.0590625</v>
      </c>
      <c r="AQ58" s="30">
        <f t="shared" si="13"/>
        <v>0</v>
      </c>
      <c r="AR58" s="30">
        <f>IF(AQ58=0,0,($AQ$36-SUM($AQ$38:AQ57))*$C$29)</f>
        <v>0</v>
      </c>
      <c r="AS58" s="30">
        <f ca="1" t="shared" si="22"/>
        <v>1751762.08152489</v>
      </c>
      <c r="AT58" s="30">
        <f ca="1" t="shared" si="23"/>
        <v>437940.520381222</v>
      </c>
      <c r="AU58" s="30">
        <f ca="1" t="shared" si="24"/>
        <v>1313821.56114367</v>
      </c>
      <c r="AV58" s="30">
        <f t="shared" si="34"/>
        <v>3580756.875</v>
      </c>
      <c r="AW58" s="30">
        <f t="shared" si="25"/>
        <v>716151.374999999</v>
      </c>
      <c r="AX58" s="141">
        <f ca="1" t="shared" si="26"/>
        <v>0.431882071740858</v>
      </c>
      <c r="AY58" s="141">
        <f ca="1" t="shared" si="27"/>
        <v>0.366911691300926</v>
      </c>
      <c r="AZ58" s="141">
        <f ca="1" t="shared" si="28"/>
        <v>0.266010976193171</v>
      </c>
      <c r="BA58" s="31">
        <f ca="1" t="shared" si="29"/>
        <v>0.232408086728211</v>
      </c>
      <c r="BB58" s="30">
        <f ca="1" t="shared" si="30"/>
        <v>1324378.62020617</v>
      </c>
      <c r="BC58" s="30">
        <f ca="1" t="shared" si="14"/>
        <v>273762.521074102</v>
      </c>
      <c r="BD58" s="30">
        <f ca="1">$BB$37+SUM($BB$38:BB58)</f>
        <v>20162836.1854199</v>
      </c>
      <c r="BE58" s="30">
        <f ca="1" t="shared" si="36"/>
        <v>437940.520381222</v>
      </c>
      <c r="BF58" s="30">
        <f ca="1" t="shared" si="35"/>
        <v>1324378.62020617</v>
      </c>
      <c r="BH58" s="30">
        <f ca="1">$BF$37+SUM($BF$38:BF58)</f>
        <v>9468349.31397843</v>
      </c>
    </row>
    <row r="59" ht="27.95" customHeight="1" spans="16:60">
      <c r="P59" s="30">
        <v>22</v>
      </c>
      <c r="Q59" s="30">
        <f t="shared" si="37"/>
        <v>6304705.6843373</v>
      </c>
      <c r="R59" s="31">
        <f t="shared" si="15"/>
        <v>0</v>
      </c>
      <c r="S59" s="30">
        <f t="shared" si="0"/>
        <v>429350.45710337</v>
      </c>
      <c r="T59" s="30">
        <f t="shared" si="1"/>
        <v>2588396.91870468</v>
      </c>
      <c r="U59" s="30">
        <f t="shared" si="2"/>
        <v>0</v>
      </c>
      <c r="V59" s="30">
        <f t="shared" si="3"/>
        <v>0</v>
      </c>
      <c r="W59" s="30">
        <f t="shared" si="4"/>
        <v>0</v>
      </c>
      <c r="X59" s="30">
        <f t="shared" si="5"/>
        <v>0</v>
      </c>
      <c r="Y59" s="30">
        <f t="shared" si="6"/>
        <v>0</v>
      </c>
      <c r="Z59" s="30">
        <f t="shared" si="7"/>
        <v>0</v>
      </c>
      <c r="AA59" s="30">
        <f t="shared" si="8"/>
        <v>0</v>
      </c>
      <c r="AB59" s="30">
        <f t="shared" si="16"/>
        <v>3017747.37580805</v>
      </c>
      <c r="AC59" s="30">
        <f t="shared" si="9"/>
        <v>249171.801672224</v>
      </c>
      <c r="AD59" s="30">
        <f>IF(SUM($AC$38:AC59)&lt;$AD$35,IF(SUM($AC$38:AC59)&gt;$AD$35,$AD$35-SUM($AC$38:AC59),AC59),IF(SUM($AC$38:AC58)&lt;$AD$35,IF(SUM($AC$38:AC59)&gt;$AD$35,$AD$35-SUM($AC$38:AC58)),0))</f>
        <v>0</v>
      </c>
      <c r="AE59" s="30">
        <f t="shared" si="17"/>
        <v>2768575.57413582</v>
      </c>
      <c r="AF59" s="30">
        <f t="shared" si="10"/>
        <v>249171.801672224</v>
      </c>
      <c r="AG59" s="30">
        <f t="shared" si="18"/>
        <v>0</v>
      </c>
      <c r="AH59" s="30">
        <f ca="1">IF(OFFSET(AH58,-$C$17+1,0,1,1)&gt;0,IF((($A$17*$B$17*25)-SUM($AH$38:AH58))&gt;$AH$38,OFFSET(AH58,-$C$17+1,0,1,1),($A$17*$B$17*25)-SUM($AH$38:AH58)),0)</f>
        <v>0</v>
      </c>
      <c r="AI59" s="30">
        <f t="shared" si="19"/>
        <v>6709.74849007978</v>
      </c>
      <c r="AJ59" s="30">
        <f t="shared" si="32"/>
        <v>105332.38375</v>
      </c>
      <c r="AK59" s="30">
        <f t="shared" si="33"/>
        <v>922625.300211842</v>
      </c>
      <c r="AL59" s="30">
        <f ca="1">IF(OFFSET(AL58,-$E$17+1,0,1,1)&gt;0,IF((($D$17*25)-SUM($AL$38:AL58))&gt;$AL$38,OFFSET(AL58,-$E$17+1,0,1,1),($D$17*25)-SUM($AL$38:AL58)),0)</f>
        <v>0</v>
      </c>
      <c r="AM59" s="30">
        <f t="shared" si="20"/>
        <v>0</v>
      </c>
      <c r="AN59" s="30">
        <f t="shared" si="11"/>
        <v>24917.1801672224</v>
      </c>
      <c r="AO59" s="30">
        <f ca="1" t="shared" si="12"/>
        <v>1708990.96151668</v>
      </c>
      <c r="AP59" s="30">
        <f>IF(P59&lt;=$F$29,AP58,IF(P39&lt;=$F$29,($C$5*1000000*SUM($A$25:$I$25)*$G$29*(1-$G$29)*(1-$D$41)/$F$29)/(25-$F$29),0))</f>
        <v>10557.0590625</v>
      </c>
      <c r="AQ59" s="30">
        <f t="shared" si="13"/>
        <v>0</v>
      </c>
      <c r="AR59" s="30">
        <f>IF(AQ59=0,0,($AQ$36-SUM($AQ$38:AQ58))*$C$29)</f>
        <v>0</v>
      </c>
      <c r="AS59" s="30">
        <f ca="1" t="shared" si="22"/>
        <v>1698433.90245418</v>
      </c>
      <c r="AT59" s="30">
        <f ca="1" t="shared" si="23"/>
        <v>424608.475613545</v>
      </c>
      <c r="AU59" s="30">
        <f ca="1" t="shared" si="24"/>
        <v>1273825.42684063</v>
      </c>
      <c r="AV59" s="30">
        <f t="shared" si="34"/>
        <v>3570199.8159375</v>
      </c>
      <c r="AW59" s="30">
        <f t="shared" si="25"/>
        <v>714039.963187499</v>
      </c>
      <c r="AX59" s="141">
        <f ca="1" t="shared" si="26"/>
        <v>0.422111352677276</v>
      </c>
      <c r="AY59" s="141">
        <f ca="1" t="shared" si="27"/>
        <v>0.356793874996641</v>
      </c>
      <c r="AZ59" s="141">
        <f ca="1" t="shared" si="28"/>
        <v>0.257912912464759</v>
      </c>
      <c r="BA59" s="31">
        <f ca="1" t="shared" si="29"/>
        <v>0.237084841407994</v>
      </c>
      <c r="BB59" s="30">
        <f ca="1" t="shared" si="30"/>
        <v>1284382.48590313</v>
      </c>
      <c r="BC59" s="30">
        <f ca="1" t="shared" si="14"/>
        <v>246294.315068087</v>
      </c>
      <c r="BD59" s="30">
        <f ca="1">$BB$37+SUM($BB$38:BB59)</f>
        <v>21447218.671323</v>
      </c>
      <c r="BE59" s="30">
        <f ca="1" t="shared" si="36"/>
        <v>424608.475613545</v>
      </c>
      <c r="BF59" s="30">
        <f ca="1" t="shared" si="35"/>
        <v>1284382.48590313</v>
      </c>
      <c r="BH59" s="30">
        <f ca="1">$BF$37+SUM($BF$38:BF59)</f>
        <v>10752731.7998816</v>
      </c>
    </row>
    <row r="60" ht="27.95" customHeight="1" spans="16:60">
      <c r="P60" s="30">
        <v>23</v>
      </c>
      <c r="Q60" s="30">
        <f t="shared" si="37"/>
        <v>6254268.0388626</v>
      </c>
      <c r="R60" s="31">
        <f t="shared" si="15"/>
        <v>0</v>
      </c>
      <c r="S60" s="30">
        <f t="shared" si="0"/>
        <v>425915.653446543</v>
      </c>
      <c r="T60" s="30">
        <f t="shared" si="1"/>
        <v>2567689.74335504</v>
      </c>
      <c r="U60" s="30">
        <f t="shared" si="2"/>
        <v>0</v>
      </c>
      <c r="V60" s="30">
        <f t="shared" si="3"/>
        <v>0</v>
      </c>
      <c r="W60" s="30">
        <f t="shared" si="4"/>
        <v>0</v>
      </c>
      <c r="X60" s="30">
        <f t="shared" si="5"/>
        <v>0</v>
      </c>
      <c r="Y60" s="30">
        <f t="shared" si="6"/>
        <v>0</v>
      </c>
      <c r="Z60" s="30">
        <f t="shared" si="7"/>
        <v>0</v>
      </c>
      <c r="AA60" s="30">
        <f t="shared" si="8"/>
        <v>0</v>
      </c>
      <c r="AB60" s="30">
        <f t="shared" si="16"/>
        <v>2993605.39680158</v>
      </c>
      <c r="AC60" s="30">
        <f t="shared" si="9"/>
        <v>247178.427258846</v>
      </c>
      <c r="AD60" s="30">
        <f>IF(SUM($AC$38:AC60)&lt;$AD$35,IF(SUM($AC$38:AC60)&gt;$AD$35,$AD$35-SUM($AC$38:AC60),AC60),IF(SUM($AC$38:AC59)&lt;$AD$35,IF(SUM($AC$38:AC60)&gt;$AD$35,$AD$35-SUM($AC$38:AC59)),0))</f>
        <v>0</v>
      </c>
      <c r="AE60" s="30">
        <f t="shared" si="17"/>
        <v>2746426.96954274</v>
      </c>
      <c r="AF60" s="30">
        <f t="shared" si="10"/>
        <v>247178.427258846</v>
      </c>
      <c r="AG60" s="30">
        <f t="shared" si="18"/>
        <v>0</v>
      </c>
      <c r="AH60" s="30">
        <f ca="1">IF(OFFSET(AH59,-$C$17+1,0,1,1)&gt;0,IF((($A$17*$B$17*25)-SUM($AH$38:AH59))&gt;$AH$38,OFFSET(AH59,-$C$17+1,0,1,1),($A$17*$B$17*25)-SUM($AH$38:AH59)),0)</f>
        <v>0</v>
      </c>
      <c r="AI60" s="30">
        <f t="shared" si="19"/>
        <v>6711.76141462681</v>
      </c>
      <c r="AJ60" s="30">
        <f t="shared" si="32"/>
        <v>105332.38375</v>
      </c>
      <c r="AK60" s="30">
        <f t="shared" si="33"/>
        <v>954917.185719256</v>
      </c>
      <c r="AL60" s="30">
        <f ca="1">IF(OFFSET(AL59,-$E$17+1,0,1,1)&gt;0,IF((($D$17*25)-SUM($AL$38:AL59))&gt;$AL$38,OFFSET(AL59,-$E$17+1,0,1,1),($D$17*25)-SUM($AL$38:AL59)),0)</f>
        <v>0</v>
      </c>
      <c r="AM60" s="30">
        <f t="shared" si="20"/>
        <v>0</v>
      </c>
      <c r="AN60" s="30">
        <f t="shared" si="11"/>
        <v>24717.8427258846</v>
      </c>
      <c r="AO60" s="30">
        <f ca="1" t="shared" si="12"/>
        <v>1654747.79593297</v>
      </c>
      <c r="AP60" s="30">
        <f>IF(P60&lt;=$F$29,AP59,IF(P40&lt;=$F$29,($C$5*1000000*SUM($A$25:$I$25)*$G$29*(1-$G$29)*(1-$D$41)/$F$29)/(25-$F$29),0))</f>
        <v>10557.0590625</v>
      </c>
      <c r="AQ60" s="30">
        <f t="shared" si="13"/>
        <v>0</v>
      </c>
      <c r="AR60" s="30">
        <f>IF(AQ60=0,0,($AQ$36-SUM($AQ$38:AQ59))*$C$29)</f>
        <v>0</v>
      </c>
      <c r="AS60" s="30">
        <f ca="1" t="shared" si="22"/>
        <v>1644190.73687047</v>
      </c>
      <c r="AT60" s="30">
        <f ca="1" t="shared" si="23"/>
        <v>411047.684217617</v>
      </c>
      <c r="AU60" s="30">
        <f ca="1" t="shared" si="24"/>
        <v>1233143.05265285</v>
      </c>
      <c r="AV60" s="30">
        <f t="shared" si="34"/>
        <v>3559642.756875</v>
      </c>
      <c r="AW60" s="30">
        <f t="shared" si="25"/>
        <v>711928.551374999</v>
      </c>
      <c r="AX60" s="141">
        <f ca="1" t="shared" si="26"/>
        <v>0.41192571805568</v>
      </c>
      <c r="AY60" s="141">
        <f ca="1" t="shared" si="27"/>
        <v>0.346423261230693</v>
      </c>
      <c r="AZ60" s="141">
        <f ca="1" t="shared" si="28"/>
        <v>0.249675904950491</v>
      </c>
      <c r="BA60" s="31">
        <f ca="1" t="shared" si="29"/>
        <v>0.241960195419621</v>
      </c>
      <c r="BB60" s="30">
        <f ca="1" t="shared" si="30"/>
        <v>1243700.11171535</v>
      </c>
      <c r="BC60" s="30">
        <f ca="1" t="shared" si="14"/>
        <v>221245.20574349</v>
      </c>
      <c r="BD60" s="30">
        <f ca="1">$BB$37+SUM($BB$38:BB60)</f>
        <v>22690918.7830384</v>
      </c>
      <c r="BE60" s="30">
        <f ca="1" t="shared" si="36"/>
        <v>411047.684217617</v>
      </c>
      <c r="BF60" s="30">
        <f ca="1" t="shared" si="35"/>
        <v>1243700.11171535</v>
      </c>
      <c r="BH60" s="30">
        <f ca="1">$BF$37+SUM($BF$38:BF60)</f>
        <v>11996431.9115969</v>
      </c>
    </row>
    <row r="61" ht="27.95" customHeight="1" spans="16:60">
      <c r="P61" s="30">
        <v>24</v>
      </c>
      <c r="Q61" s="30">
        <f t="shared" si="37"/>
        <v>6204233.8945517</v>
      </c>
      <c r="R61" s="31">
        <f t="shared" si="15"/>
        <v>0</v>
      </c>
      <c r="S61" s="30">
        <f t="shared" si="0"/>
        <v>422508.328218971</v>
      </c>
      <c r="T61" s="30">
        <f t="shared" si="1"/>
        <v>2547148.2254082</v>
      </c>
      <c r="U61" s="30">
        <f t="shared" si="2"/>
        <v>0</v>
      </c>
      <c r="V61" s="30">
        <f t="shared" si="3"/>
        <v>0</v>
      </c>
      <c r="W61" s="30">
        <f t="shared" si="4"/>
        <v>0</v>
      </c>
      <c r="X61" s="30">
        <f t="shared" si="5"/>
        <v>0</v>
      </c>
      <c r="Y61" s="30">
        <f t="shared" si="6"/>
        <v>0</v>
      </c>
      <c r="Z61" s="30">
        <f t="shared" si="7"/>
        <v>0</v>
      </c>
      <c r="AA61" s="30">
        <f t="shared" si="8"/>
        <v>0</v>
      </c>
      <c r="AB61" s="30">
        <f t="shared" si="16"/>
        <v>2969656.55362717</v>
      </c>
      <c r="AC61" s="30">
        <f t="shared" si="9"/>
        <v>245200.999840776</v>
      </c>
      <c r="AD61" s="30">
        <f>IF(SUM($AC$38:AC61)&lt;$AD$35,IF(SUM($AC$38:AC61)&gt;$AD$35,$AD$35-SUM($AC$38:AC61),AC61),IF(SUM($AC$38:AC60)&lt;$AD$35,IF(SUM($AC$38:AC61)&gt;$AD$35,$AD$35-SUM($AC$38:AC60)),0))</f>
        <v>0</v>
      </c>
      <c r="AE61" s="30">
        <f t="shared" si="17"/>
        <v>2724455.5537864</v>
      </c>
      <c r="AF61" s="30">
        <f t="shared" si="10"/>
        <v>245200.999840776</v>
      </c>
      <c r="AG61" s="30">
        <f t="shared" si="18"/>
        <v>0</v>
      </c>
      <c r="AH61" s="30">
        <f ca="1">IF(OFFSET(AH60,-$C$17+1,0,1,1)&gt;0,IF((($A$17*$B$17*25)-SUM($AH$38:AH60))&gt;$AH$38,OFFSET(AH60,-$C$17+1,0,1,1),($A$17*$B$17*25)-SUM($AH$38:AH60)),0)</f>
        <v>0</v>
      </c>
      <c r="AI61" s="30">
        <f t="shared" si="19"/>
        <v>6713.7749430512</v>
      </c>
      <c r="AJ61" s="30">
        <f t="shared" si="32"/>
        <v>105332.38375</v>
      </c>
      <c r="AK61" s="30">
        <f t="shared" si="33"/>
        <v>988339.28721943</v>
      </c>
      <c r="AL61" s="30">
        <f ca="1">IF(OFFSET(AL60,-$E$17+1,0,1,1)&gt;0,IF((($D$17*25)-SUM($AL$38:AL60))&gt;$AL$38,OFFSET(AL60,-$E$17+1,0,1,1),($D$17*25)-SUM($AL$38:AL60)),0)</f>
        <v>0</v>
      </c>
      <c r="AM61" s="30">
        <f t="shared" si="20"/>
        <v>0</v>
      </c>
      <c r="AN61" s="30">
        <f t="shared" si="11"/>
        <v>24520.0999840776</v>
      </c>
      <c r="AO61" s="30">
        <f ca="1" t="shared" si="12"/>
        <v>1599550.00788984</v>
      </c>
      <c r="AP61" s="30">
        <f>IF(P61&lt;=$F$29,AP60,IF(P41&lt;=$F$29,($C$5*1000000*SUM($A$25:$I$25)*$G$29*(1-$G$29)*(1-$D$41)/$F$29)/(25-$F$29),0))</f>
        <v>10557.0590625</v>
      </c>
      <c r="AQ61" s="30">
        <f t="shared" si="13"/>
        <v>0</v>
      </c>
      <c r="AR61" s="30">
        <f>IF(AQ61=0,0,($AQ$36-SUM($AQ$38:AQ60))*$C$29)</f>
        <v>0</v>
      </c>
      <c r="AS61" s="30">
        <f ca="1" t="shared" si="22"/>
        <v>1588992.94882734</v>
      </c>
      <c r="AT61" s="30">
        <f ca="1" t="shared" si="23"/>
        <v>397248.237206834</v>
      </c>
      <c r="AU61" s="30">
        <f ca="1" t="shared" si="24"/>
        <v>1191744.7116205</v>
      </c>
      <c r="AV61" s="30">
        <f t="shared" si="34"/>
        <v>3549085.6978125</v>
      </c>
      <c r="AW61" s="30">
        <f t="shared" si="25"/>
        <v>709817.139562499</v>
      </c>
      <c r="AX61" s="141">
        <f ca="1" t="shared" si="26"/>
        <v>0.401307252235917</v>
      </c>
      <c r="AY61" s="141">
        <f ca="1" t="shared" si="27"/>
        <v>0.335789218151323</v>
      </c>
      <c r="AZ61" s="141">
        <f ca="1" t="shared" si="28"/>
        <v>0.241293934798314</v>
      </c>
      <c r="BA61" s="31">
        <f ca="1" t="shared" si="29"/>
        <v>0.247042724084251</v>
      </c>
      <c r="BB61" s="30">
        <f ca="1" t="shared" si="30"/>
        <v>1202301.770683</v>
      </c>
      <c r="BC61" s="30">
        <f ca="1" t="shared" si="14"/>
        <v>198412.881514325</v>
      </c>
      <c r="BD61" s="30">
        <f ca="1">$BB$37+SUM($BB$38:BB61)</f>
        <v>23893220.5537214</v>
      </c>
      <c r="BE61" s="30">
        <f ca="1" t="shared" si="36"/>
        <v>397248.237206834</v>
      </c>
      <c r="BF61" s="30">
        <f ca="1" t="shared" si="35"/>
        <v>1202301.770683</v>
      </c>
      <c r="BH61" s="30">
        <f ca="1">$BF$37+SUM($BF$38:BF61)</f>
        <v>13198733.6822799</v>
      </c>
    </row>
    <row r="62" ht="27.95" customHeight="1" spans="16:60">
      <c r="P62" s="30">
        <v>25</v>
      </c>
      <c r="Q62" s="30">
        <f t="shared" si="37"/>
        <v>6154600.02339529</v>
      </c>
      <c r="R62" s="31">
        <f t="shared" si="15"/>
        <v>0</v>
      </c>
      <c r="S62" s="30">
        <f t="shared" si="0"/>
        <v>419128.261593219</v>
      </c>
      <c r="T62" s="30">
        <f t="shared" si="1"/>
        <v>2526771.03960493</v>
      </c>
      <c r="U62" s="30">
        <f t="shared" si="2"/>
        <v>0</v>
      </c>
      <c r="V62" s="30">
        <f t="shared" si="3"/>
        <v>0</v>
      </c>
      <c r="W62" s="30">
        <f t="shared" si="4"/>
        <v>0</v>
      </c>
      <c r="X62" s="30">
        <f t="shared" si="5"/>
        <v>0</v>
      </c>
      <c r="Y62" s="30">
        <f t="shared" si="6"/>
        <v>0</v>
      </c>
      <c r="Z62" s="30">
        <f t="shared" si="7"/>
        <v>0</v>
      </c>
      <c r="AA62" s="30">
        <f t="shared" si="8"/>
        <v>0</v>
      </c>
      <c r="AB62" s="30">
        <f t="shared" si="16"/>
        <v>2945899.30119815</v>
      </c>
      <c r="AC62" s="30">
        <f t="shared" si="9"/>
        <v>243239.391842049</v>
      </c>
      <c r="AD62" s="30">
        <f>IF(SUM($AC$38:AC62)&lt;$AD$35,IF(SUM($AC$38:AC62)&gt;$AD$35,$AD$35-SUM($AC$38:AC62),AC62),IF(SUM($AC$38:AC61)&lt;$AD$35,IF(SUM($AC$38:AC62)&gt;$AD$35,$AD$35-SUM($AC$38:AC61)),0))</f>
        <v>0</v>
      </c>
      <c r="AE62" s="30">
        <f t="shared" si="17"/>
        <v>2702659.9093561</v>
      </c>
      <c r="AF62" s="30">
        <f t="shared" si="10"/>
        <v>243239.391842049</v>
      </c>
      <c r="AG62" s="30">
        <f t="shared" si="18"/>
        <v>0</v>
      </c>
      <c r="AH62" s="30">
        <f ca="1">IF(OFFSET(AH61,-$C$17+1,0,1,1)&gt;0,IF((($A$17*$B$17*25)-SUM($AH$38:AH61))&gt;$AH$38,OFFSET(AH61,-$C$17+1,0,1,1),($A$17*$B$17*25)-SUM($AH$38:AH61)),0)</f>
        <v>0</v>
      </c>
      <c r="AI62" s="30">
        <f t="shared" si="19"/>
        <v>6715.78907553411</v>
      </c>
      <c r="AJ62" s="30">
        <f t="shared" si="32"/>
        <v>105332.38375</v>
      </c>
      <c r="AK62" s="30">
        <f t="shared" si="33"/>
        <v>1022931.16227211</v>
      </c>
      <c r="AL62" s="30">
        <f ca="1">IF(OFFSET(AL61,-$E$17+1,0,1,1)&gt;0,IF((($D$17*25)-SUM($AL$38:AL61))&gt;$AL$38,OFFSET(AL61,-$E$17+1,0,1,1),($D$17*25)-SUM($AL$38:AL61)),0)</f>
        <v>0</v>
      </c>
      <c r="AM62" s="30">
        <f t="shared" si="20"/>
        <v>0</v>
      </c>
      <c r="AN62" s="30">
        <f t="shared" si="11"/>
        <v>24323.9391842049</v>
      </c>
      <c r="AO62" s="30">
        <f ca="1" t="shared" si="12"/>
        <v>1543356.63507425</v>
      </c>
      <c r="AP62" s="30">
        <f>IF(P62&lt;=$F$29,AP61,IF(P42&lt;=$F$29,($C$5*1000000*SUM($A$25:$I$25)*$G$29*(1-$G$29)*(1-$D$41)/$F$29)/(25-$F$29),0))</f>
        <v>10557.0590625</v>
      </c>
      <c r="AQ62" s="30">
        <f t="shared" si="13"/>
        <v>0</v>
      </c>
      <c r="AR62" s="30">
        <f>IF(AQ62=0,0,($AQ$36-SUM($AQ$38:AQ61))*$C$29)</f>
        <v>0</v>
      </c>
      <c r="AS62" s="30">
        <f ca="1" t="shared" si="22"/>
        <v>1532799.57601175</v>
      </c>
      <c r="AT62" s="30">
        <f ca="1" t="shared" si="23"/>
        <v>383199.894002939</v>
      </c>
      <c r="AU62" s="30">
        <f ca="1" t="shared" si="24"/>
        <v>1149599.68200882</v>
      </c>
      <c r="AV62" s="30">
        <f t="shared" si="34"/>
        <v>3538528.63875</v>
      </c>
      <c r="AW62" s="30">
        <f t="shared" si="25"/>
        <v>707705.727749999</v>
      </c>
      <c r="AX62" s="141">
        <f ca="1" t="shared" si="26"/>
        <v>0.390237263555225</v>
      </c>
      <c r="AY62" s="141">
        <f ca="1" t="shared" si="27"/>
        <v>0.32488070590123</v>
      </c>
      <c r="AZ62" s="141">
        <f ca="1" t="shared" si="28"/>
        <v>0.232760781742936</v>
      </c>
      <c r="BA62" s="31">
        <f ca="1" t="shared" si="29"/>
        <v>0.252341374166264</v>
      </c>
      <c r="BB62" s="30">
        <f ca="1" t="shared" si="30"/>
        <v>1160156.74107132</v>
      </c>
      <c r="BC62" s="30">
        <f ca="1" t="shared" si="14"/>
        <v>177611.559618476</v>
      </c>
      <c r="BD62" s="30">
        <f ca="1">$BB$37+SUM($BB$38:BB62)</f>
        <v>25053377.2947927</v>
      </c>
      <c r="BE62" s="30">
        <f ca="1" t="shared" si="36"/>
        <v>383199.894002939</v>
      </c>
      <c r="BF62" s="30">
        <f ca="1" t="shared" si="35"/>
        <v>1160156.74107132</v>
      </c>
      <c r="BH62" s="30">
        <f ca="1">$BF$37+SUM($BF$38:BF62)</f>
        <v>14358890.4233512</v>
      </c>
    </row>
    <row r="63" ht="27.95" customHeight="1" spans="16:60">
      <c r="P63" s="120" t="s">
        <v>298</v>
      </c>
      <c r="Q63" s="122">
        <f>SUM(Q38:Q57)</f>
        <v>138004967.139314</v>
      </c>
      <c r="R63" s="122">
        <f t="shared" ref="R63:BH63" si="38">SUM(R38:R57)</f>
        <v>0</v>
      </c>
      <c r="S63" s="122">
        <f t="shared" si="38"/>
        <v>9398138.2621873</v>
      </c>
      <c r="T63" s="122">
        <f t="shared" si="38"/>
        <v>56657939.2590454</v>
      </c>
      <c r="U63" s="122">
        <f t="shared" si="38"/>
        <v>0</v>
      </c>
      <c r="V63" s="122">
        <f t="shared" si="38"/>
        <v>0</v>
      </c>
      <c r="W63" s="122">
        <f t="shared" si="38"/>
        <v>0</v>
      </c>
      <c r="X63" s="122">
        <f t="shared" si="38"/>
        <v>0</v>
      </c>
      <c r="Y63" s="122">
        <f t="shared" si="38"/>
        <v>0</v>
      </c>
      <c r="Z63" s="122">
        <f t="shared" si="38"/>
        <v>0</v>
      </c>
      <c r="AA63" s="122">
        <f t="shared" si="38"/>
        <v>0</v>
      </c>
      <c r="AB63" s="122">
        <f t="shared" si="38"/>
        <v>66056077.5212327</v>
      </c>
      <c r="AC63" s="122">
        <f t="shared" si="38"/>
        <v>5454171.53845041</v>
      </c>
      <c r="AD63" s="122">
        <f t="shared" si="38"/>
        <v>2469487.5</v>
      </c>
      <c r="AE63" s="122">
        <f t="shared" si="38"/>
        <v>60601905.9827823</v>
      </c>
      <c r="AF63" s="122">
        <f t="shared" si="38"/>
        <v>2984684.03845041</v>
      </c>
      <c r="AG63" s="122">
        <f t="shared" si="38"/>
        <v>2469487.5</v>
      </c>
      <c r="AH63" s="122">
        <f ca="1" t="shared" si="38"/>
        <v>0</v>
      </c>
      <c r="AI63" s="122">
        <f t="shared" si="38"/>
        <v>133733.064096739</v>
      </c>
      <c r="AJ63" s="122">
        <f t="shared" si="38"/>
        <v>2106647.675</v>
      </c>
      <c r="AK63" s="122">
        <f t="shared" si="38"/>
        <v>12669297.4523628</v>
      </c>
      <c r="AL63" s="122">
        <f ca="1" t="shared" ref="AL63" si="39">SUM(AL38:AL57)</f>
        <v>0</v>
      </c>
      <c r="AM63" s="122">
        <f t="shared" si="38"/>
        <v>0</v>
      </c>
      <c r="AN63" s="122">
        <f t="shared" si="38"/>
        <v>298468.403845041</v>
      </c>
      <c r="AO63" s="122">
        <f ca="1" t="shared" si="38"/>
        <v>45393759.3874777</v>
      </c>
      <c r="AP63" s="122">
        <f t="shared" si="38"/>
        <v>21114118.125</v>
      </c>
      <c r="AQ63" s="122">
        <f t="shared" si="38"/>
        <v>19755900</v>
      </c>
      <c r="AR63" s="122">
        <f t="shared" si="38"/>
        <v>11760524.1746922</v>
      </c>
      <c r="AS63" s="122">
        <f ca="1" t="shared" si="38"/>
        <v>12519117.0877856</v>
      </c>
      <c r="AT63" s="122">
        <f ca="1" t="shared" si="38"/>
        <v>3263877.01901329</v>
      </c>
      <c r="AU63" s="122">
        <f ca="1" t="shared" si="38"/>
        <v>11724727.5687723</v>
      </c>
      <c r="AV63" s="122">
        <f t="shared" si="38"/>
        <v>293313377.8125</v>
      </c>
      <c r="AW63" s="122">
        <f t="shared" si="38"/>
        <v>58662675.5625</v>
      </c>
      <c r="AX63" s="142">
        <f ca="1" t="shared" si="26"/>
        <v>0.177496575769331</v>
      </c>
      <c r="AY63" s="142">
        <f ca="1" t="shared" ref="AY63:AY64" si="40">AU63/AV63</f>
        <v>0.0399733815627983</v>
      </c>
      <c r="AZ63" s="142">
        <f ca="1" t="shared" ref="AZ63:AZ64" si="41">AU63/$AQ$36</f>
        <v>0.593479799390171</v>
      </c>
      <c r="BA63" s="143">
        <f ca="1">SUM(BA38:BA57)/20</f>
        <v>0.371090007486369</v>
      </c>
      <c r="BB63" s="122">
        <f ca="1" t="shared" si="38"/>
        <v>43533332.5652137</v>
      </c>
      <c r="BC63" s="122">
        <f ca="1" t="shared" si="38"/>
        <v>23577548.5169815</v>
      </c>
      <c r="BD63" s="122">
        <f ca="1" t="shared" si="38"/>
        <v>13314093.4573755</v>
      </c>
      <c r="BE63" s="122">
        <f ca="1" t="shared" si="38"/>
        <v>4329914.32226398</v>
      </c>
      <c r="BF63" s="122">
        <f ca="1" t="shared" si="38"/>
        <v>13082945.6937723</v>
      </c>
      <c r="BG63" s="122">
        <f t="shared" si="38"/>
        <v>0</v>
      </c>
      <c r="BH63" s="148">
        <f ca="1" t="shared" si="38"/>
        <v>10410900.6269848</v>
      </c>
    </row>
    <row r="64" ht="27.95" customHeight="1" spans="16:60">
      <c r="P64" s="121" t="s">
        <v>293</v>
      </c>
      <c r="Q64" s="123">
        <f>SUM(Q38:Q62)</f>
        <v>169278324.865478</v>
      </c>
      <c r="R64" s="123">
        <f t="shared" ref="R64:AW64" si="42">SUM(R38:R62)</f>
        <v>0</v>
      </c>
      <c r="S64" s="123">
        <f t="shared" si="42"/>
        <v>11527853.9233391</v>
      </c>
      <c r="T64" s="123">
        <f t="shared" si="42"/>
        <v>69497216.2735222</v>
      </c>
      <c r="U64" s="123">
        <f t="shared" si="42"/>
        <v>0</v>
      </c>
      <c r="V64" s="123">
        <f t="shared" si="42"/>
        <v>0</v>
      </c>
      <c r="W64" s="123">
        <f t="shared" si="42"/>
        <v>0</v>
      </c>
      <c r="X64" s="123">
        <f t="shared" si="42"/>
        <v>0</v>
      </c>
      <c r="Y64" s="123">
        <f t="shared" si="42"/>
        <v>0</v>
      </c>
      <c r="Z64" s="123">
        <f t="shared" si="42"/>
        <v>0</v>
      </c>
      <c r="AA64" s="123">
        <f t="shared" si="42"/>
        <v>0</v>
      </c>
      <c r="AB64" s="123">
        <f t="shared" si="42"/>
        <v>81025070.1968613</v>
      </c>
      <c r="AC64" s="123">
        <f t="shared" si="42"/>
        <v>6690143.41075001</v>
      </c>
      <c r="AD64" s="123">
        <f t="shared" si="42"/>
        <v>2469487.5</v>
      </c>
      <c r="AE64" s="123">
        <f t="shared" si="42"/>
        <v>74334926.7861113</v>
      </c>
      <c r="AF64" s="123">
        <f t="shared" si="42"/>
        <v>4220655.91075001</v>
      </c>
      <c r="AG64" s="123">
        <f t="shared" si="42"/>
        <v>2469487.5</v>
      </c>
      <c r="AH64" s="123">
        <f ca="1" t="shared" si="42"/>
        <v>0</v>
      </c>
      <c r="AI64" s="123">
        <f t="shared" si="42"/>
        <v>167291.87418926</v>
      </c>
      <c r="AJ64" s="123">
        <f t="shared" si="42"/>
        <v>2633309.59375</v>
      </c>
      <c r="AK64" s="123">
        <f t="shared" si="42"/>
        <v>17449535.7986181</v>
      </c>
      <c r="AL64" s="123">
        <f ca="1" t="shared" ref="AL64" si="43">SUM(AL38:AL62)</f>
        <v>0</v>
      </c>
      <c r="AM64" s="123">
        <f t="shared" si="42"/>
        <v>0</v>
      </c>
      <c r="AN64" s="123">
        <f t="shared" si="42"/>
        <v>422065.591075001</v>
      </c>
      <c r="AO64" s="123">
        <f ca="1" t="shared" si="42"/>
        <v>53662723.9284789</v>
      </c>
      <c r="AP64" s="123">
        <f t="shared" si="42"/>
        <v>21166903.4203125</v>
      </c>
      <c r="AQ64" s="123">
        <f t="shared" si="42"/>
        <v>19755900</v>
      </c>
      <c r="AR64" s="123">
        <f t="shared" si="42"/>
        <v>11760524.1746922</v>
      </c>
      <c r="AS64" s="123">
        <f ca="1" t="shared" si="42"/>
        <v>20735296.3334742</v>
      </c>
      <c r="AT64" s="123">
        <f ca="1" t="shared" si="42"/>
        <v>5317921.83043544</v>
      </c>
      <c r="AU64" s="123">
        <f ca="1" t="shared" si="42"/>
        <v>17886862.0030387</v>
      </c>
      <c r="AV64" s="123">
        <f t="shared" si="42"/>
        <v>311111591.596875</v>
      </c>
      <c r="AW64" s="123">
        <f t="shared" si="42"/>
        <v>62222318.319375</v>
      </c>
      <c r="AX64" s="144">
        <f ca="1" t="shared" si="26"/>
        <v>0.220757130596496</v>
      </c>
      <c r="AY64" s="144">
        <f ca="1" t="shared" si="40"/>
        <v>0.0574933962159011</v>
      </c>
      <c r="AZ64" s="144">
        <f ca="1" t="shared" si="41"/>
        <v>0.905393426927589</v>
      </c>
      <c r="BA64" s="145">
        <f ca="1">SUM(BA38:BA62)/25</f>
        <v>0.345305494861349</v>
      </c>
      <c r="BB64" s="123">
        <f ca="1" t="shared" ref="BB64:BH64" si="44">SUM(BB38:BB62)</f>
        <v>49748252.2947927</v>
      </c>
      <c r="BC64" s="123">
        <f ca="1" t="shared" si="44"/>
        <v>24694875</v>
      </c>
      <c r="BD64" s="123">
        <f ca="1" t="shared" si="44"/>
        <v>126561664.945671</v>
      </c>
      <c r="BE64" s="123">
        <f ca="1" t="shared" si="44"/>
        <v>6383959.13368614</v>
      </c>
      <c r="BF64" s="123">
        <f ca="1" t="shared" si="44"/>
        <v>19297865.4233512</v>
      </c>
      <c r="BG64" s="123">
        <f t="shared" si="44"/>
        <v>0</v>
      </c>
      <c r="BH64" s="149">
        <f ca="1" t="shared" si="44"/>
        <v>70186037.7580728</v>
      </c>
    </row>
    <row r="65" ht="27.95" customHeight="1" spans="16:60">
      <c r="P65" s="150" t="s">
        <v>304</v>
      </c>
      <c r="Q65" s="151" t="s">
        <v>172</v>
      </c>
      <c r="R65" s="151" t="s">
        <v>305</v>
      </c>
      <c r="S65" s="151" t="s">
        <v>306</v>
      </c>
      <c r="T65" s="151" t="s">
        <v>307</v>
      </c>
      <c r="U65" s="151" t="s">
        <v>308</v>
      </c>
      <c r="V65" s="151" t="s">
        <v>79</v>
      </c>
      <c r="W65" s="151" t="s">
        <v>80</v>
      </c>
      <c r="X65" s="151" t="s">
        <v>81</v>
      </c>
      <c r="Y65" s="151" t="s">
        <v>290</v>
      </c>
      <c r="Z65" s="151" t="s">
        <v>309</v>
      </c>
      <c r="AA65" s="151" t="s">
        <v>291</v>
      </c>
      <c r="AB65" s="151" t="s">
        <v>310</v>
      </c>
      <c r="AC65" s="151" t="s">
        <v>334</v>
      </c>
      <c r="AD65" s="151" t="s">
        <v>114</v>
      </c>
      <c r="AE65" s="151" t="s">
        <v>312</v>
      </c>
      <c r="AF65" s="151" t="s">
        <v>313</v>
      </c>
      <c r="AG65" s="151" t="s">
        <v>314</v>
      </c>
      <c r="AH65" s="151"/>
      <c r="AI65" s="151" t="s">
        <v>315</v>
      </c>
      <c r="AJ65" s="152" t="s">
        <v>33</v>
      </c>
      <c r="AK65" s="152" t="s">
        <v>34</v>
      </c>
      <c r="AL65" s="153" t="s">
        <v>232</v>
      </c>
      <c r="AM65" s="152" t="s">
        <v>316</v>
      </c>
      <c r="AN65" s="151" t="s">
        <v>115</v>
      </c>
      <c r="AO65" s="151" t="s">
        <v>317</v>
      </c>
      <c r="AP65" s="158" t="s">
        <v>137</v>
      </c>
      <c r="AQ65" s="151" t="s">
        <v>318</v>
      </c>
      <c r="AR65" s="151" t="s">
        <v>319</v>
      </c>
      <c r="AS65" s="151" t="s">
        <v>320</v>
      </c>
      <c r="AT65" s="151" t="s">
        <v>141</v>
      </c>
      <c r="AU65" s="151" t="s">
        <v>321</v>
      </c>
      <c r="AV65" s="158" t="s">
        <v>143</v>
      </c>
      <c r="AW65" s="151" t="s">
        <v>144</v>
      </c>
      <c r="AX65" s="151" t="s">
        <v>322</v>
      </c>
      <c r="AY65" s="151" t="s">
        <v>145</v>
      </c>
      <c r="AZ65" s="151" t="s">
        <v>146</v>
      </c>
      <c r="BA65" s="159" t="s">
        <v>148</v>
      </c>
      <c r="BB65" s="151" t="s">
        <v>152</v>
      </c>
      <c r="BC65" s="151" t="s">
        <v>299</v>
      </c>
      <c r="BD65" s="151" t="s">
        <v>157</v>
      </c>
      <c r="BE65" s="151" t="s">
        <v>300</v>
      </c>
      <c r="BF65" s="151" t="s">
        <v>163</v>
      </c>
      <c r="BG65" s="151" t="s">
        <v>335</v>
      </c>
      <c r="BH65" s="165" t="s">
        <v>301</v>
      </c>
    </row>
    <row r="66" ht="27.95" customHeight="1" spans="53:54">
      <c r="BA66" s="160" t="s">
        <v>182</v>
      </c>
      <c r="BB66" s="134" t="s">
        <v>336</v>
      </c>
    </row>
    <row r="67" ht="27.95" customHeight="1" spans="36:54">
      <c r="AJ67" s="124" t="s">
        <v>337</v>
      </c>
      <c r="AK67" s="136" t="s">
        <v>338</v>
      </c>
      <c r="AL67" s="136" t="s">
        <v>339</v>
      </c>
      <c r="AM67" s="134" t="s">
        <v>340</v>
      </c>
      <c r="BA67" s="161">
        <v>20</v>
      </c>
      <c r="BB67" s="162">
        <f ca="1">NPV(8%,BB38:BB57)</f>
        <v>23265282.8481642</v>
      </c>
    </row>
    <row r="68" ht="27.95" customHeight="1" spans="36:54">
      <c r="AJ68" s="137" t="s">
        <v>341</v>
      </c>
      <c r="AK68" s="138" t="s">
        <v>342</v>
      </c>
      <c r="AL68" s="138" t="s">
        <v>342</v>
      </c>
      <c r="AM68" s="130" t="s">
        <v>342</v>
      </c>
      <c r="BA68" s="163">
        <v>25</v>
      </c>
      <c r="BB68" s="164">
        <f ca="1">NPV(8%,BB38:BB62)</f>
        <v>24335455.2260232</v>
      </c>
    </row>
    <row r="69" ht="13.15" spans="36:39">
      <c r="AJ69" s="154">
        <f>VALUE(AL71)</f>
        <v>5</v>
      </c>
      <c r="AK69" s="155">
        <f>ROUNDUP(AJ71/10,0)*10-5</f>
        <v>5</v>
      </c>
      <c r="AL69" s="155">
        <f>ROUNDDOWN(AJ71/10,0)*10</f>
        <v>0</v>
      </c>
      <c r="AM69" s="127">
        <f>ROUNDUP(AJ71/10,0)*10</f>
        <v>10</v>
      </c>
    </row>
    <row r="70" ht="24.85" spans="36:38">
      <c r="AJ70" s="156" t="s">
        <v>27</v>
      </c>
      <c r="AK70" s="156" t="s">
        <v>27</v>
      </c>
      <c r="AL70" s="134" t="s">
        <v>343</v>
      </c>
    </row>
    <row r="71" ht="13.2" spans="36:38">
      <c r="AJ71" s="129">
        <f>ROUND(C5,0)</f>
        <v>5</v>
      </c>
      <c r="AK71" s="126">
        <f>IF(AJ71&lt;5,5,IF(AI30="不在范围",AI31,AI30))</f>
        <v>5</v>
      </c>
      <c r="AL71" s="157" t="str">
        <f>RIGHT(AJ71,1)</f>
        <v>5</v>
      </c>
    </row>
  </sheetData>
  <sheetProtection algorithmName="SHA-512" hashValue="FPJ7Tfr/pBdZWOa6KVdqwo8ABDtBXme0whmmgOgIEnWfhYrqzJEYcjBLrGVG0621zwZa0sl0gNv7SQNeWtr2rQ==" saltValue="GXq5c4mqM9MA3Zkmxp7ULg==" spinCount="100000" sheet="1" objects="1" scenarios="1"/>
  <mergeCells count="22">
    <mergeCell ref="A1:I1"/>
    <mergeCell ref="A2:I2"/>
    <mergeCell ref="B3:I3"/>
    <mergeCell ref="B4:I4"/>
    <mergeCell ref="A7:I7"/>
    <mergeCell ref="A14:I14"/>
    <mergeCell ref="A18:I18"/>
    <mergeCell ref="A22:I22"/>
    <mergeCell ref="A26:I26"/>
    <mergeCell ref="A30:I30"/>
    <mergeCell ref="BC32:BD32"/>
    <mergeCell ref="BG32:BH32"/>
    <mergeCell ref="A39:I39"/>
    <mergeCell ref="A31:A33"/>
    <mergeCell ref="A34:A38"/>
    <mergeCell ref="F15:F17"/>
    <mergeCell ref="G16:G17"/>
    <mergeCell ref="G40:G43"/>
    <mergeCell ref="I32:I33"/>
    <mergeCell ref="I35:I38"/>
    <mergeCell ref="AI32:AI34"/>
    <mergeCell ref="G19:I21"/>
  </mergeCells>
  <dataValidations count="4">
    <dataValidation type="list" allowBlank="1" showInputMessage="1" showErrorMessage="1" sqref="E5">
      <formula1>$M$3:$M$6</formula1>
    </dataValidation>
    <dataValidation type="list" allowBlank="1" showInputMessage="1" showErrorMessage="1" sqref="G5">
      <formula1>$O$3:$O$14</formula1>
    </dataValidation>
    <dataValidation type="list" allowBlank="1" showInputMessage="1" showErrorMessage="1" sqref="A10">
      <formula1>$P$3:$P$4</formula1>
    </dataValidation>
    <dataValidation type="list" allowBlank="1" showInputMessage="1" showErrorMessage="1" sqref="C16">
      <formula1>$Q$3:$Q$4</formula1>
    </dataValidation>
  </dataValidations>
  <pageMargins left="0.7" right="0.7" top="0.75" bottom="0.75" header="0.3" footer="0.3"/>
  <pageSetup paperSize="9" orientation="portrait"/>
  <headerFooter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$A1:$XFD1048576"/>
    </sheetView>
  </sheetViews>
  <sheetFormatPr defaultColWidth="9" defaultRowHeight="14.1"/>
  <cols>
    <col min="1" max="16384" width="9" style="29"/>
  </cols>
  <sheetData/>
  <sheetProtection formatCells="0" insertHyperlinks="0" autoFilter="0"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9"/>
  <sheetViews>
    <sheetView zoomScale="115" zoomScaleNormal="115" workbookViewId="0">
      <selection activeCell="G16" sqref="G16"/>
    </sheetView>
  </sheetViews>
  <sheetFormatPr defaultColWidth="9" defaultRowHeight="11.55"/>
  <cols>
    <col min="1" max="1" width="6.74774774774775" style="2" customWidth="1"/>
    <col min="2" max="2" width="17.2522522522523" style="2" customWidth="1"/>
    <col min="3" max="3" width="6" style="2" customWidth="1"/>
    <col min="4" max="4" width="12.2522522522523" style="2" customWidth="1"/>
    <col min="5" max="5" width="9" style="2"/>
    <col min="6" max="6" width="14.8738738738739" style="2" customWidth="1"/>
    <col min="7" max="26" width="12.2522522522523" style="2" customWidth="1"/>
    <col min="27" max="27" width="9.74774774774775" style="2" customWidth="1"/>
    <col min="28" max="28" width="9.62162162162162" style="2" customWidth="1"/>
    <col min="29" max="31" width="5.87387387387387" style="2" customWidth="1"/>
    <col min="32" max="32" width="10.6216216216216" style="2" customWidth="1"/>
    <col min="33" max="16384" width="9" style="2"/>
  </cols>
  <sheetData>
    <row r="1" spans="1:45">
      <c r="A1" s="3"/>
      <c r="B1" s="4"/>
      <c r="C1" s="5"/>
      <c r="D1" s="4"/>
      <c r="E1" s="5"/>
      <c r="F1" s="6">
        <v>0</v>
      </c>
      <c r="G1" s="6">
        <f>F1+1</f>
        <v>1</v>
      </c>
      <c r="H1" s="6">
        <f t="shared" ref="H1:W2" si="0">G1+1</f>
        <v>2</v>
      </c>
      <c r="I1" s="6">
        <f t="shared" si="0"/>
        <v>3</v>
      </c>
      <c r="J1" s="6">
        <f t="shared" si="0"/>
        <v>4</v>
      </c>
      <c r="K1" s="6">
        <f t="shared" si="0"/>
        <v>5</v>
      </c>
      <c r="L1" s="6">
        <f t="shared" si="0"/>
        <v>6</v>
      </c>
      <c r="M1" s="6">
        <f t="shared" si="0"/>
        <v>7</v>
      </c>
      <c r="N1" s="6">
        <f t="shared" si="0"/>
        <v>8</v>
      </c>
      <c r="O1" s="6">
        <f t="shared" si="0"/>
        <v>9</v>
      </c>
      <c r="P1" s="6">
        <f t="shared" si="0"/>
        <v>10</v>
      </c>
      <c r="Q1" s="6">
        <f t="shared" si="0"/>
        <v>11</v>
      </c>
      <c r="R1" s="6">
        <f t="shared" si="0"/>
        <v>12</v>
      </c>
      <c r="S1" s="6">
        <f t="shared" si="0"/>
        <v>13</v>
      </c>
      <c r="T1" s="6">
        <f t="shared" si="0"/>
        <v>14</v>
      </c>
      <c r="U1" s="6">
        <f t="shared" si="0"/>
        <v>15</v>
      </c>
      <c r="V1" s="6">
        <f t="shared" si="0"/>
        <v>16</v>
      </c>
      <c r="W1" s="6">
        <f t="shared" si="0"/>
        <v>17</v>
      </c>
      <c r="X1" s="6">
        <f t="shared" ref="X1:Z2" si="1">W1+1</f>
        <v>18</v>
      </c>
      <c r="Y1" s="6">
        <f t="shared" si="1"/>
        <v>19</v>
      </c>
      <c r="Z1" s="6">
        <f t="shared" si="1"/>
        <v>20</v>
      </c>
      <c r="AA1" s="6">
        <f t="shared" ref="AA1:AE1" si="2">Z1+1</f>
        <v>21</v>
      </c>
      <c r="AB1" s="6">
        <f t="shared" si="2"/>
        <v>22</v>
      </c>
      <c r="AC1" s="6">
        <f t="shared" si="2"/>
        <v>23</v>
      </c>
      <c r="AD1" s="6">
        <f t="shared" si="2"/>
        <v>24</v>
      </c>
      <c r="AE1" s="6">
        <f t="shared" si="2"/>
        <v>25</v>
      </c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</row>
    <row r="2" ht="23.15" spans="1:45">
      <c r="A2" s="7" t="s">
        <v>344</v>
      </c>
      <c r="B2" s="8"/>
      <c r="C2" s="9"/>
      <c r="D2" s="10" t="s">
        <v>345</v>
      </c>
      <c r="E2" s="9"/>
      <c r="F2" s="8">
        <v>0</v>
      </c>
      <c r="G2" s="8">
        <f>F2+1</f>
        <v>1</v>
      </c>
      <c r="H2" s="8">
        <f t="shared" si="0"/>
        <v>2</v>
      </c>
      <c r="I2" s="8">
        <f t="shared" si="0"/>
        <v>3</v>
      </c>
      <c r="J2" s="8">
        <f t="shared" si="0"/>
        <v>4</v>
      </c>
      <c r="K2" s="8">
        <f t="shared" si="0"/>
        <v>5</v>
      </c>
      <c r="L2" s="8">
        <f t="shared" si="0"/>
        <v>6</v>
      </c>
      <c r="M2" s="8">
        <f t="shared" si="0"/>
        <v>7</v>
      </c>
      <c r="N2" s="8">
        <f t="shared" si="0"/>
        <v>8</v>
      </c>
      <c r="O2" s="8">
        <f t="shared" si="0"/>
        <v>9</v>
      </c>
      <c r="P2" s="8">
        <f t="shared" si="0"/>
        <v>10</v>
      </c>
      <c r="Q2" s="8">
        <f t="shared" si="0"/>
        <v>11</v>
      </c>
      <c r="R2" s="8">
        <f t="shared" si="0"/>
        <v>12</v>
      </c>
      <c r="S2" s="8">
        <f t="shared" si="0"/>
        <v>13</v>
      </c>
      <c r="T2" s="8">
        <f t="shared" si="0"/>
        <v>14</v>
      </c>
      <c r="U2" s="8">
        <f t="shared" si="0"/>
        <v>15</v>
      </c>
      <c r="V2" s="8">
        <f t="shared" si="0"/>
        <v>16</v>
      </c>
      <c r="W2" s="8">
        <f t="shared" si="0"/>
        <v>17</v>
      </c>
      <c r="X2" s="8">
        <f t="shared" si="1"/>
        <v>18</v>
      </c>
      <c r="Y2" s="8">
        <f t="shared" si="1"/>
        <v>19</v>
      </c>
      <c r="Z2" s="8">
        <f t="shared" si="1"/>
        <v>20</v>
      </c>
      <c r="AA2" s="8"/>
      <c r="AB2" s="8"/>
      <c r="AC2" s="8"/>
      <c r="AD2" s="8"/>
      <c r="AE2" s="8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</row>
    <row r="4" spans="1:33">
      <c r="A4" s="2" t="s">
        <v>346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2:31">
      <c r="B5" s="2" t="s">
        <v>347</v>
      </c>
      <c r="G5" s="11">
        <f>'Cash Flow'!G12</f>
        <v>0</v>
      </c>
      <c r="H5" s="11">
        <f>'Cash Flow'!H12</f>
        <v>0</v>
      </c>
      <c r="I5" s="11">
        <f>'Cash Flow'!I12</f>
        <v>0</v>
      </c>
      <c r="J5" s="11">
        <f>'Cash Flow'!J12</f>
        <v>0</v>
      </c>
      <c r="K5" s="11">
        <f>'Cash Flow'!K12</f>
        <v>0</v>
      </c>
      <c r="L5" s="11">
        <f>'Cash Flow'!L12</f>
        <v>0</v>
      </c>
      <c r="M5" s="11">
        <f>'Cash Flow'!M12</f>
        <v>0</v>
      </c>
      <c r="N5" s="11">
        <f>'Cash Flow'!N12</f>
        <v>0</v>
      </c>
      <c r="O5" s="11">
        <f>'Cash Flow'!O12</f>
        <v>0</v>
      </c>
      <c r="P5" s="11">
        <f>'Cash Flow'!P12</f>
        <v>0</v>
      </c>
      <c r="Q5" s="11">
        <f>'Cash Flow'!Q12</f>
        <v>0</v>
      </c>
      <c r="R5" s="11">
        <f>'Cash Flow'!R12</f>
        <v>0</v>
      </c>
      <c r="S5" s="11">
        <f>'Cash Flow'!S12</f>
        <v>0</v>
      </c>
      <c r="T5" s="11">
        <f>'Cash Flow'!T12</f>
        <v>0</v>
      </c>
      <c r="U5" s="11">
        <f>'Cash Flow'!U12</f>
        <v>0</v>
      </c>
      <c r="V5" s="11">
        <f>'Cash Flow'!V12</f>
        <v>0</v>
      </c>
      <c r="W5" s="11">
        <f>'Cash Flow'!W12</f>
        <v>0</v>
      </c>
      <c r="X5" s="11">
        <f>'Cash Flow'!X12</f>
        <v>0</v>
      </c>
      <c r="Y5" s="11">
        <f>'Cash Flow'!Y12</f>
        <v>0</v>
      </c>
      <c r="Z5" s="11">
        <f>'Cash Flow'!Z12</f>
        <v>0</v>
      </c>
      <c r="AA5" s="11">
        <f>'Cash Flow'!AA12</f>
        <v>0</v>
      </c>
      <c r="AB5" s="11">
        <f>'Cash Flow'!AB12</f>
        <v>0</v>
      </c>
      <c r="AC5" s="11">
        <f>'Cash Flow'!AC12</f>
        <v>0</v>
      </c>
      <c r="AD5" s="11">
        <f>'Cash Flow'!AD12</f>
        <v>0</v>
      </c>
      <c r="AE5" s="11">
        <f>'Cash Flow'!AE12</f>
        <v>0</v>
      </c>
    </row>
    <row r="6" spans="2:31">
      <c r="B6" s="2" t="s">
        <v>324</v>
      </c>
      <c r="C6" s="12">
        <f>Assump!B55</f>
        <v>0.17</v>
      </c>
      <c r="G6" s="11">
        <f>G5/(1+$C$6)*$C$6</f>
        <v>0</v>
      </c>
      <c r="H6" s="11">
        <f t="shared" ref="H6:AE6" si="3">H5/(1+$C$6)*$C$6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11">
        <f t="shared" si="3"/>
        <v>0</v>
      </c>
      <c r="R6" s="11">
        <f t="shared" si="3"/>
        <v>0</v>
      </c>
      <c r="S6" s="11">
        <f t="shared" si="3"/>
        <v>0</v>
      </c>
      <c r="T6" s="11">
        <f t="shared" si="3"/>
        <v>0</v>
      </c>
      <c r="U6" s="11">
        <f t="shared" si="3"/>
        <v>0</v>
      </c>
      <c r="V6" s="11">
        <f t="shared" si="3"/>
        <v>0</v>
      </c>
      <c r="W6" s="11">
        <f t="shared" si="3"/>
        <v>0</v>
      </c>
      <c r="X6" s="11">
        <f t="shared" si="3"/>
        <v>0</v>
      </c>
      <c r="Y6" s="11">
        <f t="shared" si="3"/>
        <v>0</v>
      </c>
      <c r="Z6" s="11">
        <f t="shared" si="3"/>
        <v>0</v>
      </c>
      <c r="AA6" s="11">
        <f t="shared" si="3"/>
        <v>0</v>
      </c>
      <c r="AB6" s="11">
        <f t="shared" si="3"/>
        <v>0</v>
      </c>
      <c r="AC6" s="11">
        <f t="shared" si="3"/>
        <v>0</v>
      </c>
      <c r="AD6" s="11">
        <f t="shared" si="3"/>
        <v>0</v>
      </c>
      <c r="AE6" s="11">
        <f t="shared" si="3"/>
        <v>0</v>
      </c>
    </row>
    <row r="7" s="1" customFormat="1" spans="2:31">
      <c r="B7" s="1" t="s">
        <v>348</v>
      </c>
      <c r="G7" s="13">
        <f t="shared" ref="G7:AE7" si="4">G5-G6</f>
        <v>0</v>
      </c>
      <c r="H7" s="13">
        <f t="shared" si="4"/>
        <v>0</v>
      </c>
      <c r="I7" s="13">
        <f t="shared" si="4"/>
        <v>0</v>
      </c>
      <c r="J7" s="13">
        <f t="shared" si="4"/>
        <v>0</v>
      </c>
      <c r="K7" s="13">
        <f t="shared" si="4"/>
        <v>0</v>
      </c>
      <c r="L7" s="13">
        <f t="shared" si="4"/>
        <v>0</v>
      </c>
      <c r="M7" s="13">
        <f t="shared" si="4"/>
        <v>0</v>
      </c>
      <c r="N7" s="13">
        <f t="shared" si="4"/>
        <v>0</v>
      </c>
      <c r="O7" s="13">
        <f t="shared" si="4"/>
        <v>0</v>
      </c>
      <c r="P7" s="13">
        <f t="shared" si="4"/>
        <v>0</v>
      </c>
      <c r="Q7" s="13">
        <f t="shared" si="4"/>
        <v>0</v>
      </c>
      <c r="R7" s="13">
        <f t="shared" si="4"/>
        <v>0</v>
      </c>
      <c r="S7" s="13">
        <f t="shared" si="4"/>
        <v>0</v>
      </c>
      <c r="T7" s="13">
        <f t="shared" si="4"/>
        <v>0</v>
      </c>
      <c r="U7" s="13">
        <f t="shared" si="4"/>
        <v>0</v>
      </c>
      <c r="V7" s="13">
        <f t="shared" si="4"/>
        <v>0</v>
      </c>
      <c r="W7" s="13">
        <f t="shared" si="4"/>
        <v>0</v>
      </c>
      <c r="X7" s="13">
        <f t="shared" si="4"/>
        <v>0</v>
      </c>
      <c r="Y7" s="13">
        <f t="shared" si="4"/>
        <v>0</v>
      </c>
      <c r="Z7" s="13">
        <f t="shared" si="4"/>
        <v>0</v>
      </c>
      <c r="AA7" s="13">
        <f t="shared" si="4"/>
        <v>0</v>
      </c>
      <c r="AB7" s="13">
        <f t="shared" si="4"/>
        <v>0</v>
      </c>
      <c r="AC7" s="13">
        <f t="shared" si="4"/>
        <v>0</v>
      </c>
      <c r="AD7" s="13">
        <f t="shared" si="4"/>
        <v>0</v>
      </c>
      <c r="AE7" s="13">
        <f t="shared" si="4"/>
        <v>0</v>
      </c>
    </row>
    <row r="8" spans="1:31">
      <c r="A8" s="2" t="s">
        <v>349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2:31">
      <c r="B9" s="2" t="s">
        <v>347</v>
      </c>
      <c r="C9" s="15"/>
      <c r="D9" s="16">
        <f t="shared" ref="D9:D11" si="5">SUM(G9:Z9)</f>
        <v>2007389296.96</v>
      </c>
      <c r="G9" s="11">
        <f>'Cash Flow'!G21</f>
        <v>110142400</v>
      </c>
      <c r="H9" s="11">
        <f>'Cash Flow'!H21</f>
        <v>107388840</v>
      </c>
      <c r="I9" s="11">
        <f>'Cash Flow'!I21</f>
        <v>106551757.76</v>
      </c>
      <c r="J9" s="11">
        <f>'Cash Flow'!J21</f>
        <v>105714675.52</v>
      </c>
      <c r="K9" s="11">
        <f>'Cash Flow'!K21</f>
        <v>104877593.28</v>
      </c>
      <c r="L9" s="11">
        <f>'Cash Flow'!L21</f>
        <v>104040511.04</v>
      </c>
      <c r="M9" s="11">
        <f>'Cash Flow'!M21</f>
        <v>103203428.8</v>
      </c>
      <c r="N9" s="11">
        <f>'Cash Flow'!N21</f>
        <v>102366346.56</v>
      </c>
      <c r="O9" s="11">
        <f>'Cash Flow'!O21</f>
        <v>101529264.32</v>
      </c>
      <c r="P9" s="11">
        <f>'Cash Flow'!P21</f>
        <v>100692182.08</v>
      </c>
      <c r="Q9" s="11">
        <f>'Cash Flow'!Q21</f>
        <v>99855099.84</v>
      </c>
      <c r="R9" s="11">
        <f>'Cash Flow'!R21</f>
        <v>99018017.5999999</v>
      </c>
      <c r="S9" s="11">
        <f>'Cash Flow'!S21</f>
        <v>98180935.3599999</v>
      </c>
      <c r="T9" s="11">
        <f>'Cash Flow'!T21</f>
        <v>97343853.1199999</v>
      </c>
      <c r="U9" s="11">
        <f>'Cash Flow'!U21</f>
        <v>96506770.8799999</v>
      </c>
      <c r="V9" s="11">
        <f>'Cash Flow'!V21</f>
        <v>95669688.6399999</v>
      </c>
      <c r="W9" s="11">
        <f>'Cash Flow'!W21</f>
        <v>94832606.3999999</v>
      </c>
      <c r="X9" s="11">
        <f>'Cash Flow'!X21</f>
        <v>93995524.1599999</v>
      </c>
      <c r="Y9" s="11">
        <f>'Cash Flow'!Y21</f>
        <v>93158441.9199999</v>
      </c>
      <c r="Z9" s="11">
        <f>'Cash Flow'!Z21</f>
        <v>92321359.6799999</v>
      </c>
      <c r="AA9" s="11">
        <f>'Cash Flow'!AA21</f>
        <v>0</v>
      </c>
      <c r="AB9" s="11">
        <f>'Cash Flow'!AB21</f>
        <v>0</v>
      </c>
      <c r="AC9" s="11">
        <f>'Cash Flow'!AC21</f>
        <v>0</v>
      </c>
      <c r="AD9" s="11">
        <f>'Cash Flow'!AD21</f>
        <v>0</v>
      </c>
      <c r="AE9" s="11">
        <f>'Cash Flow'!AE21</f>
        <v>0</v>
      </c>
    </row>
    <row r="10" spans="2:31">
      <c r="B10" s="2" t="s">
        <v>324</v>
      </c>
      <c r="C10" s="17">
        <v>0.17</v>
      </c>
      <c r="D10" s="16">
        <f t="shared" si="5"/>
        <v>291671949.13094</v>
      </c>
      <c r="F10" s="18">
        <f>G9*C6</f>
        <v>18724208</v>
      </c>
      <c r="G10" s="18">
        <f>G9/(1+$C$6)*$C$6</f>
        <v>16003596.5811966</v>
      </c>
      <c r="H10" s="18">
        <f t="shared" ref="H10:AE10" si="6">H9/(1+$C$6)*$C$6</f>
        <v>15603506.6666667</v>
      </c>
      <c r="I10" s="18">
        <f t="shared" si="6"/>
        <v>15481879.3326496</v>
      </c>
      <c r="J10" s="18">
        <f t="shared" si="6"/>
        <v>15360251.9986325</v>
      </c>
      <c r="K10" s="18">
        <f t="shared" si="6"/>
        <v>15238624.6646154</v>
      </c>
      <c r="L10" s="18">
        <f t="shared" si="6"/>
        <v>15116997.3305983</v>
      </c>
      <c r="M10" s="18">
        <f t="shared" si="6"/>
        <v>14995369.9965812</v>
      </c>
      <c r="N10" s="18">
        <f t="shared" si="6"/>
        <v>14873742.6625641</v>
      </c>
      <c r="O10" s="18">
        <f t="shared" si="6"/>
        <v>14752115.328547</v>
      </c>
      <c r="P10" s="18">
        <f t="shared" si="6"/>
        <v>14630487.9945299</v>
      </c>
      <c r="Q10" s="18">
        <f t="shared" si="6"/>
        <v>14508860.6605128</v>
      </c>
      <c r="R10" s="18">
        <f t="shared" si="6"/>
        <v>14387233.3264957</v>
      </c>
      <c r="S10" s="18">
        <f t="shared" si="6"/>
        <v>14265605.9924786</v>
      </c>
      <c r="T10" s="18">
        <f t="shared" si="6"/>
        <v>14143978.6584615</v>
      </c>
      <c r="U10" s="18">
        <f t="shared" si="6"/>
        <v>14022351.3244444</v>
      </c>
      <c r="V10" s="18">
        <f t="shared" si="6"/>
        <v>13900723.9904273</v>
      </c>
      <c r="W10" s="18">
        <f t="shared" si="6"/>
        <v>13779096.6564102</v>
      </c>
      <c r="X10" s="18">
        <f t="shared" si="6"/>
        <v>13657469.3223931</v>
      </c>
      <c r="Y10" s="18">
        <f t="shared" si="6"/>
        <v>13535841.9883761</v>
      </c>
      <c r="Z10" s="18">
        <f t="shared" si="6"/>
        <v>13414214.654359</v>
      </c>
      <c r="AA10" s="18">
        <f t="shared" si="6"/>
        <v>0</v>
      </c>
      <c r="AB10" s="18">
        <f t="shared" si="6"/>
        <v>0</v>
      </c>
      <c r="AC10" s="18">
        <f t="shared" si="6"/>
        <v>0</v>
      </c>
      <c r="AD10" s="18">
        <f t="shared" si="6"/>
        <v>0</v>
      </c>
      <c r="AE10" s="18">
        <f t="shared" si="6"/>
        <v>0</v>
      </c>
    </row>
    <row r="11" s="1" customFormat="1" spans="2:31">
      <c r="B11" s="1" t="s">
        <v>348</v>
      </c>
      <c r="D11" s="16">
        <f t="shared" si="5"/>
        <v>1715717347.82906</v>
      </c>
      <c r="G11" s="19">
        <f t="shared" ref="G11:AE11" si="7">G9-G10</f>
        <v>94138803.4188034</v>
      </c>
      <c r="H11" s="19">
        <f t="shared" si="7"/>
        <v>91785333.3333333</v>
      </c>
      <c r="I11" s="19">
        <f t="shared" si="7"/>
        <v>91069878.4273504</v>
      </c>
      <c r="J11" s="19">
        <f t="shared" si="7"/>
        <v>90354423.5213675</v>
      </c>
      <c r="K11" s="19">
        <f t="shared" si="7"/>
        <v>89638968.6153846</v>
      </c>
      <c r="L11" s="19">
        <f t="shared" si="7"/>
        <v>88923513.7094017</v>
      </c>
      <c r="M11" s="19">
        <f t="shared" si="7"/>
        <v>88208058.8034188</v>
      </c>
      <c r="N11" s="19">
        <f t="shared" si="7"/>
        <v>87492603.8974359</v>
      </c>
      <c r="O11" s="19">
        <f t="shared" si="7"/>
        <v>86777148.991453</v>
      </c>
      <c r="P11" s="19">
        <f t="shared" si="7"/>
        <v>86061694.0854701</v>
      </c>
      <c r="Q11" s="19">
        <f t="shared" si="7"/>
        <v>85346239.1794871</v>
      </c>
      <c r="R11" s="19">
        <f t="shared" si="7"/>
        <v>84630784.2735042</v>
      </c>
      <c r="S11" s="19">
        <f t="shared" si="7"/>
        <v>83915329.3675213</v>
      </c>
      <c r="T11" s="19">
        <f t="shared" si="7"/>
        <v>83199874.4615384</v>
      </c>
      <c r="U11" s="19">
        <f t="shared" si="7"/>
        <v>82484419.5555555</v>
      </c>
      <c r="V11" s="19">
        <f t="shared" si="7"/>
        <v>81768964.6495726</v>
      </c>
      <c r="W11" s="19">
        <f t="shared" si="7"/>
        <v>81053509.7435897</v>
      </c>
      <c r="X11" s="19">
        <f t="shared" si="7"/>
        <v>80338054.8376068</v>
      </c>
      <c r="Y11" s="19">
        <f t="shared" si="7"/>
        <v>79622599.9316238</v>
      </c>
      <c r="Z11" s="19">
        <f t="shared" si="7"/>
        <v>78907145.0256409</v>
      </c>
      <c r="AA11" s="19">
        <f t="shared" si="7"/>
        <v>0</v>
      </c>
      <c r="AB11" s="19">
        <f t="shared" si="7"/>
        <v>0</v>
      </c>
      <c r="AC11" s="19">
        <f t="shared" si="7"/>
        <v>0</v>
      </c>
      <c r="AD11" s="19">
        <f t="shared" si="7"/>
        <v>0</v>
      </c>
      <c r="AE11" s="19">
        <f t="shared" si="7"/>
        <v>0</v>
      </c>
    </row>
    <row r="12" spans="7:7">
      <c r="G12" s="14"/>
    </row>
    <row r="13" spans="2:31">
      <c r="B13" s="20" t="s">
        <v>350</v>
      </c>
      <c r="D13" s="16">
        <f>SUM(G13:Z13)</f>
        <v>291671949.13094</v>
      </c>
      <c r="F13" s="21"/>
      <c r="G13" s="22">
        <f t="shared" ref="G13:Z13" si="8">G6+G10</f>
        <v>16003596.5811966</v>
      </c>
      <c r="H13" s="21">
        <f t="shared" si="8"/>
        <v>15603506.6666667</v>
      </c>
      <c r="I13" s="21">
        <f t="shared" si="8"/>
        <v>15481879.3326496</v>
      </c>
      <c r="J13" s="21">
        <f t="shared" si="8"/>
        <v>15360251.9986325</v>
      </c>
      <c r="K13" s="21">
        <f t="shared" si="8"/>
        <v>15238624.6646154</v>
      </c>
      <c r="L13" s="21">
        <f t="shared" si="8"/>
        <v>15116997.3305983</v>
      </c>
      <c r="M13" s="21">
        <f t="shared" si="8"/>
        <v>14995369.9965812</v>
      </c>
      <c r="N13" s="21">
        <f t="shared" si="8"/>
        <v>14873742.6625641</v>
      </c>
      <c r="O13" s="21">
        <f t="shared" si="8"/>
        <v>14752115.328547</v>
      </c>
      <c r="P13" s="21">
        <f t="shared" si="8"/>
        <v>14630487.9945299</v>
      </c>
      <c r="Q13" s="21">
        <f t="shared" si="8"/>
        <v>14508860.6605128</v>
      </c>
      <c r="R13" s="21">
        <f t="shared" si="8"/>
        <v>14387233.3264957</v>
      </c>
      <c r="S13" s="21">
        <f t="shared" si="8"/>
        <v>14265605.9924786</v>
      </c>
      <c r="T13" s="21">
        <f t="shared" si="8"/>
        <v>14143978.6584615</v>
      </c>
      <c r="U13" s="21">
        <f t="shared" si="8"/>
        <v>14022351.3244444</v>
      </c>
      <c r="V13" s="21">
        <f t="shared" si="8"/>
        <v>13900723.9904273</v>
      </c>
      <c r="W13" s="21">
        <f t="shared" si="8"/>
        <v>13779096.6564102</v>
      </c>
      <c r="X13" s="21">
        <f t="shared" si="8"/>
        <v>13657469.3223931</v>
      </c>
      <c r="Y13" s="21">
        <f t="shared" si="8"/>
        <v>13535841.9883761</v>
      </c>
      <c r="Z13" s="21">
        <f t="shared" si="8"/>
        <v>13414214.654359</v>
      </c>
      <c r="AA13" s="21"/>
      <c r="AB13" s="21"/>
      <c r="AC13" s="21"/>
      <c r="AD13" s="21"/>
      <c r="AE13" s="21"/>
    </row>
    <row r="14" spans="2:32">
      <c r="B14" s="20" t="s">
        <v>351</v>
      </c>
      <c r="F14" s="23">
        <f>F13</f>
        <v>0</v>
      </c>
      <c r="G14" s="23">
        <f>G13+F14</f>
        <v>16003596.5811966</v>
      </c>
      <c r="H14" s="23">
        <f t="shared" ref="H14:Z14" si="9">H13+G14</f>
        <v>31607103.2478633</v>
      </c>
      <c r="I14" s="23">
        <f t="shared" si="9"/>
        <v>47088982.5805128</v>
      </c>
      <c r="J14" s="23">
        <f t="shared" si="9"/>
        <v>62449234.5791453</v>
      </c>
      <c r="K14" s="23">
        <f t="shared" si="9"/>
        <v>77687859.2437607</v>
      </c>
      <c r="L14" s="23">
        <f t="shared" si="9"/>
        <v>92804856.574359</v>
      </c>
      <c r="M14" s="23">
        <f t="shared" si="9"/>
        <v>107800226.57094</v>
      </c>
      <c r="N14" s="23">
        <f t="shared" si="9"/>
        <v>122673969.233504</v>
      </c>
      <c r="O14" s="23">
        <f t="shared" si="9"/>
        <v>137426084.562051</v>
      </c>
      <c r="P14" s="23">
        <f t="shared" si="9"/>
        <v>152056572.556581</v>
      </c>
      <c r="Q14" s="23">
        <f t="shared" si="9"/>
        <v>166565433.217094</v>
      </c>
      <c r="R14" s="23">
        <f t="shared" si="9"/>
        <v>180952666.54359</v>
      </c>
      <c r="S14" s="23">
        <f t="shared" si="9"/>
        <v>195218272.536068</v>
      </c>
      <c r="T14" s="23">
        <f t="shared" si="9"/>
        <v>209362251.19453</v>
      </c>
      <c r="U14" s="23">
        <f t="shared" si="9"/>
        <v>223384602.518974</v>
      </c>
      <c r="V14" s="23">
        <f t="shared" si="9"/>
        <v>237285326.509402</v>
      </c>
      <c r="W14" s="23">
        <f t="shared" si="9"/>
        <v>251064423.165812</v>
      </c>
      <c r="X14" s="23">
        <f t="shared" si="9"/>
        <v>264721892.488205</v>
      </c>
      <c r="Y14" s="23">
        <f t="shared" si="9"/>
        <v>278257734.476581</v>
      </c>
      <c r="Z14" s="23">
        <f t="shared" si="9"/>
        <v>291671949.13094</v>
      </c>
      <c r="AA14" s="23"/>
      <c r="AB14" s="23"/>
      <c r="AC14" s="23"/>
      <c r="AD14" s="23"/>
      <c r="AE14" s="23"/>
      <c r="AF14" s="16"/>
    </row>
    <row r="15" spans="2:2">
      <c r="B15" s="20"/>
    </row>
    <row r="16" spans="2:4">
      <c r="B16" s="20" t="s">
        <v>352</v>
      </c>
      <c r="D16" s="21">
        <f>Assump!B53</f>
        <v>68708662.5</v>
      </c>
    </row>
    <row r="17" spans="2:31">
      <c r="B17" s="20" t="s">
        <v>353</v>
      </c>
      <c r="D17" s="21">
        <f>SUM(F17:Z17)</f>
        <v>68708662.5</v>
      </c>
      <c r="F17" s="24">
        <f>MAX(IF(F14&lt;$D$16,F13,$D$16-E14),0)</f>
        <v>0</v>
      </c>
      <c r="G17" s="21">
        <f t="shared" ref="G17:Z17" si="10">MAX(IF(G14&lt;$D$16,G13,$D$16-F14),0)</f>
        <v>16003596.5811966</v>
      </c>
      <c r="H17" s="21">
        <f t="shared" si="10"/>
        <v>15603506.6666667</v>
      </c>
      <c r="I17" s="21">
        <f t="shared" si="10"/>
        <v>15481879.3326496</v>
      </c>
      <c r="J17" s="21">
        <f t="shared" si="10"/>
        <v>15360251.9986325</v>
      </c>
      <c r="K17" s="21">
        <f t="shared" si="10"/>
        <v>6259427.9208547</v>
      </c>
      <c r="L17" s="21">
        <f t="shared" si="10"/>
        <v>0</v>
      </c>
      <c r="M17" s="21">
        <f t="shared" si="10"/>
        <v>0</v>
      </c>
      <c r="N17" s="21">
        <f t="shared" si="10"/>
        <v>0</v>
      </c>
      <c r="O17" s="21">
        <f t="shared" si="10"/>
        <v>0</v>
      </c>
      <c r="P17" s="21">
        <f t="shared" si="10"/>
        <v>0</v>
      </c>
      <c r="Q17" s="21">
        <f t="shared" si="10"/>
        <v>0</v>
      </c>
      <c r="R17" s="21">
        <f t="shared" si="10"/>
        <v>0</v>
      </c>
      <c r="S17" s="21">
        <f t="shared" si="10"/>
        <v>0</v>
      </c>
      <c r="T17" s="21">
        <f t="shared" si="10"/>
        <v>0</v>
      </c>
      <c r="U17" s="21">
        <f t="shared" si="10"/>
        <v>0</v>
      </c>
      <c r="V17" s="21">
        <f t="shared" si="10"/>
        <v>0</v>
      </c>
      <c r="W17" s="21">
        <f t="shared" si="10"/>
        <v>0</v>
      </c>
      <c r="X17" s="21">
        <f t="shared" si="10"/>
        <v>0</v>
      </c>
      <c r="Y17" s="21">
        <f t="shared" si="10"/>
        <v>0</v>
      </c>
      <c r="Z17" s="21">
        <f t="shared" si="10"/>
        <v>0</v>
      </c>
      <c r="AA17" s="21"/>
      <c r="AB17" s="21"/>
      <c r="AC17" s="21"/>
      <c r="AD17" s="21"/>
      <c r="AE17" s="21"/>
    </row>
    <row r="19" spans="2:31">
      <c r="B19" s="25" t="s">
        <v>354</v>
      </c>
      <c r="D19" s="26">
        <f>SUM(F19:Z19)</f>
        <v>222963286.63094</v>
      </c>
      <c r="F19" s="23">
        <f>F13-F17</f>
        <v>0</v>
      </c>
      <c r="G19" s="23">
        <f>G13-G17</f>
        <v>0</v>
      </c>
      <c r="H19" s="23">
        <f t="shared" ref="H19:Z19" si="11">H13-H17</f>
        <v>0</v>
      </c>
      <c r="I19" s="23">
        <f t="shared" si="11"/>
        <v>0</v>
      </c>
      <c r="J19" s="23">
        <f t="shared" si="11"/>
        <v>0</v>
      </c>
      <c r="K19" s="23">
        <f t="shared" si="11"/>
        <v>8979196.74376069</v>
      </c>
      <c r="L19" s="23">
        <f t="shared" si="11"/>
        <v>15116997.3305983</v>
      </c>
      <c r="M19" s="23">
        <f t="shared" si="11"/>
        <v>14995369.9965812</v>
      </c>
      <c r="N19" s="23">
        <f t="shared" si="11"/>
        <v>14873742.6625641</v>
      </c>
      <c r="O19" s="23">
        <f t="shared" si="11"/>
        <v>14752115.328547</v>
      </c>
      <c r="P19" s="23">
        <f t="shared" si="11"/>
        <v>14630487.9945299</v>
      </c>
      <c r="Q19" s="23">
        <f t="shared" si="11"/>
        <v>14508860.6605128</v>
      </c>
      <c r="R19" s="23">
        <f t="shared" si="11"/>
        <v>14387233.3264957</v>
      </c>
      <c r="S19" s="23">
        <f t="shared" si="11"/>
        <v>14265605.9924786</v>
      </c>
      <c r="T19" s="23">
        <f t="shared" si="11"/>
        <v>14143978.6584615</v>
      </c>
      <c r="U19" s="23">
        <f t="shared" si="11"/>
        <v>14022351.3244444</v>
      </c>
      <c r="V19" s="23">
        <f t="shared" si="11"/>
        <v>13900723.9904273</v>
      </c>
      <c r="W19" s="23">
        <f t="shared" si="11"/>
        <v>13779096.6564102</v>
      </c>
      <c r="X19" s="23">
        <f t="shared" si="11"/>
        <v>13657469.3223931</v>
      </c>
      <c r="Y19" s="23">
        <f t="shared" si="11"/>
        <v>13535841.9883761</v>
      </c>
      <c r="Z19" s="28">
        <f t="shared" si="11"/>
        <v>13414214.654359</v>
      </c>
      <c r="AA19" s="28"/>
      <c r="AB19" s="28"/>
      <c r="AC19" s="28"/>
      <c r="AD19" s="28"/>
      <c r="AE19" s="28"/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B 1 3 "   r g b C l r = " F F 0 0 0 0 " > < i t e m   i d = " { 5 e 7 d 8 5 f 5 - a d d 2 - 4 c f 7 - 8 a 2 8 - 6 a 1 f 1 f 5 4 9 9 0 b } "   i s N o r m a l = " 1 " > < s : t e x t > < s : r > < s : t   x m l : s p a c e = " p r e s e r v e " > y��v0Wt^I{He�egq\�epe��ǏP v s y s t o��N�g�Km�{< / s : t > < / s : r > < / s : t e x t > < / i t e m > < / c o m m e n t > < c o m m e n t   s : r e f = " B 2 1 "   r g b C l r = " F F 0 0 0 0 " > < i t e m   i d = " { c f 1 6 9 a 1 0 - d 5 4 3 - 4 6 c 3 - 8 3 8 2 - e 1 a 1 a e 2 2 d 0 5 d } "   i s N o r m a l = " 1 " > < s : t e x t > < s : r > < s : t   x m l : s p a c e = " p r e s e r v e " > 9hnclQ�S��D�07�>k�`�Qnx�[< / s : t > < / s : r > < / s : t e x t > < / i t e m > < / c o m m e n t > < c o m m e n t   s : r e f = " B 2 2 "   r g b C l r = " F F 0 0 0 0 " > < i t e m   i d = " { 1 d 0 1 b c a e - 9 f 4 5 - 4 5 a 6 - b 6 d e - 3 7 7 d 6 4 b 3 9 3 5 7 } "   i s N o r m a l = " 1 " > < s : t e x t > < s : r > < s : t   x m l : s p a c e = " p r e s e r v e " > 9hnclQ�S��D�07�>k�`�Qnx�[< / s : t > < / s : r > < / s : t e x t > < / i t e m > < / c o m m e n t > < / c o m m e n t L i s t > < c o m m e n t L i s t   s h e e t S t i d = " 2 " > < c o m m e n t   s : r e f = " H 1 4 "   r g b C l r = " F F 0 0 0 0 " > < i t e m   i d = " { 3 c f 6 3 9 e 0 - 3 e 6 4 - 4 3 5 f - b 9 6 4 - 7 f 0 4 4 e b e 9 9 6 b } "   i s N o r m a l = " 1 " > < s : t e x t > < s : r > < s : t   x m l : s p a c e = " p r e s e r v e " > �~NON5u�NO�`��b �K\v��yA�9�< / s : t > < / s : r > < / s : t e x t > < / i t e m > < / c o m m e n t > < c o m m e n t   s : r e f = " B 1 5 "   r g b C l r = " F F 0 0 0 0 " > < i t e m   i d = " { e 3 e c 8 8 b 9 - 8 a a 3 - 4 e 5 b - b f 9 5 - 8 b 9 a 7 c 0 f c 7 2 0 } "   i s N o r m a l = " 1 " > < s : t e x t > < s : r > < s : t   x m l : s p a c e = " p r e s e r v e " > ��t^�S5up��Q	c2 . 5 % �iRYOt^	c0 . 7 6 % < / s : t > < / s : r > < / s : t e x t > < / i t e m > < / c o m m e n t > < c o m m e n t   s : r e f = " H 1 6 "   r g b C l r = " F F 0 0 0 0 " > < i t e m   i d = " { c 3 6 4 1 8 2 9 - 8 1 4 5 - 4 7 0 9 - a d 4 e - 7 d f e e c 7 a 5 f 0 c } "   i s N o r m a l = " 1 " > < s : t e x t > < s : r > < s : t   x m l : s p a c e = " p r e s e r v e " > hQ��
NQ�e��:N0 < / s : t > < / s : r > < / s : t e x t > < / i t e m > < / c o m m e n t > < c o m m e n t   s : r e f = " B 1 8 "   r g b C l r = " F F 0 0 0 0 " > < i t e m   i d = " { 3 e 3 f 8 b 0 e - 8 e 8 4 - 4 f 3 6 - 9 6 e 9 - f 4 8 8 2 7 0 9 8 f 8 0 } "   i s N o r m a l = " 1 " > < s : t e x t > < s : r > < s : t   x m l : s p a c e = " p r e s e r v e " > y��v0WI{He�egq\�epe��ǏP v s y s t o��N�g�Km�{< / s : t > < / s : r > < / s : t e x t > < / i t e m > < / c o m m e n t > < c o m m e n t   s : r e f = " I 1 8 "   r g b C l r = " F F 0 0 0 0 " > < i t e m   i d = " { 9 e f b a e 1 7 - e 4 b 0 - 4 7 7 7 - a c 6 3 - 7 6 4 e 9 c 1 a d 8 7 7 } "   i s N o r m a l = " 1 " > < s : t e x t > < s : r > < s : t   x m l : s p a c e = " p r e s e r v e " > y��v@b(W0Wkp5u
NQ5u�N�hQ��
NQ�e��:N0  
 < / s : t > < / s : r > < / s : t e x t > < / i t e m > < / c o m m e n t > < c o m m e n t   s : r e f = " I 1 9 "   r g b C l r = " F F 0 0 0 0 " > < i t e m   i d = " { c 2 e 8 c e 2 f - 8 c 2 e - 4 9 9 6 - 8 5 1 4 - 0 0 b 6 a 5 7 0 8 f c b } "   i s N o r m a l = " 1 " > < s : t e x t > < s : r > < s : t   x m l : s p a c e = " p r e s e r v e " > hQ��
NQ5u�N�2 0 1 6 t^	�� 
  N{|0W:S�0 . 8  
 �N{|0W:S�0 . 8 8  
 	N{|0W:S�0 . 9 8 < / s : t > < / s : r > < / s : t e x t > < / i t e m > < / c o m m e n t > < c o m m e n t   s : r e f = " B 2 1 "   r g b C l r = " F F 0 0 0 0 " > < i t e m   i d = " { 0 8 0 3 5 2 f d - a 9 c a - 4 4 e 7 - a 2 9 8 - a d a 4 d 5 c 0 6 b 6 a } "   i s N o r m a l = " 1 " > < s : t e x t > < s : r > < s : t   x m l : s p a c e = " p r e s e r v e " > ��t^�|�~�~THe�s�[:N8 2 % < / s : t > < / s : r > < / s : t e x t > < / i t e m > < / c o m m e n t > < c o m m e n t   s : r e f = " H 2 2 "   r g b C l r = " F F 0 0 0 0 " > < i t e m   i d = " { c 7 4 e c 9 c 9 - c e 4 c - 4 6 d c - b a 0 5 - c 8 9 e 3 5 7 4 9 7 1 a } "   i s N o r m a l = " 1 " > < s : t e x t > < s : r > < s : t   x m l : s p a c e = " p r e s e r v e " > (W�sёAmϑh�-N���[e�4�t^P�< / s : t > < / s : r > < / s : t e x t > < / i t e m > < / c o m m e n t > < c o m m e n t   s : r e f = " I 2 2 "   r g b C l r = " F F 0 0 0 0 " > < i t e m   i d = " { 0 6 4 3 9 3 7 1 - 5 2 a b - 4 0 4 0 - 9 1 4 d - f 3 9 9 3 a b 0 8 5 b 7 } "   i s N o r m a l = " 1 " > < s : t e x t > < s : r > < s : t   x m l : s p a c e = " p r e s e r v e " > (W�sёAmϑh�-N���[e�4�t^P�< / s : t > < / s : r > < / s : t e x t > < / i t e m > < / c o m m e n t > < c o m m e n t   s : r e f = " B 3 1 "   r g b C l r = " F F 0 0 0 0 " > < i t e m   i d = " { 3 d 6 4 e d e 6 - f b a 9 - 4 2 8 8 - b b c a - c c 0 6 9 d 8 a 3 9 0 f } "   i s N o r m a l = " 1 " > < s : t e x t > < s : r > < s : t   x m l : s p a c e = " p r e s e r v e " > GS�S�z�Su;m:S�_0W9�< / s : t > < / s : r > < / s : t e x t > < / i t e m > < / c o m m e n t > < c o m m e n t   s : r e f = " B 3 2 "   r g b C l r = " F F 0 0 0 0 " > < i t e m   i d = " { 2 d 9 b 1 8 5 b - 2 f b 1 - 4 e 6 5 - b 1 8 0 - 6 b a e 6 9 a 3 6 4 2 7 } "   i s N o r m a l = " 1 " > < s : t e x t > < s : r > < s : t   x m l : s p a c e = " p r e s e r v e " > +TJSt^W0W�K\v�	��yё0ׂ(ge�P9�0D�^\�^Q{e�P9�I{< / s : t > < / s : r > < / s : t e x t > < / i t e m > < / c o m m e n t > < c o m m e n t   s : r e f = " B 4 1 "   r g b C l r = " F F 0 0 0 0 " > < i t e m   i d = " { e c 0 9 a a b 6 - 7 1 6 b - 4 4 a 0 - b 2 b c - 3 f 2 6 d a 8 4 5 2 f e } "   i s N o r m a l = " 1 " > < s : t e x t > < s : r > < s : t   x m l : s p a c e = " p r e s e r v e " > 9hnclQ�S��D�07�>k�`�Qnx�[< / s : t > < / s : r > < / s : t e x t > < / i t e m > < / c o m m e n t > < c o m m e n t   s : r e f = " B 4 2 "   r g b C l r = " F F 0 0 0 0 " > < i t e m   i d = " { a 5 6 3 2 4 e 1 - d 5 b 7 - 4 7 9 3 - a a 8 c - 2 b 0 1 1 c 9 9 0 b 6 b } "   i s N o r m a l = " 1 " > < s : t e x t > < s : r > < s : t   x m l : s p a c e = " p r e s e r v e " > 9hnclQ�S��D�07�>k�`�Qnx�[< / s : t > < / s : r > < / s : t e x t > < / i t e m > < / c o m m e n t > < c o m m e n t   s : r e f = " C 4 6 "   r g b C l r = " F F 0 0 0 0 " > < i t e m   i d = " { b 5 6 0 5 9 b 8 - 5 b 0 4 - 4 0 c f - a 6 1 0 - b f c b 9 a a 7 9 2 7 c } "   i s N o r m a l = " 1 " > < s : t e x t > < s : r > < s : t   x m l : s p a c e = " p r e s e r v e " > t^��X�s< / s : t > < / s : r > < / s : t e x t > < / i t e m > < / c o m m e n t > < c o m m e n t   s : r e f = " C 4 8 "   r g b C l r = " F F 0 0 0 0 " > < i t e m   i d = " { 0 f a 3 2 5 3 0 - 4 d 7 d - 4 3 d 0 - a 3 9 8 - 6 f b 7 9 0 1 9 c 8 c 5 } "   i s N o r m a l = " 1 " > < s : t e x t > < s : r > < s : t   x m l : s p a c e = " p r e s e r v e " > �Oi�9��s< / s : t > < / s : r > < / s : t e x t > < / i t e m > < / c o m m e n t > < c o m m e n t   s : r e f = " C 4 9 "   r g b C l r = " F F 0 0 0 0 " > < i t e m   i d = " { d e 0 5 d 0 1 a - a 9 0 2 - 4 6 b d - 9 d 8 7 - 3 f d 2 e 3 1 2 c e 5 d } "   i s N o r m a l = " 1 " > < s : t e x t > < s : r > < s : t   x m l : s p a c e = " p r e s e r v e " > t^��X�s< / s : t > < / s : r > < / s : t e x t > < / i t e m > < / c o m m e n t > < c o m m e n t   s : r e f = " B 5 2 "   r g b C l r = " F F 0 0 0 0 " > < i t e m   i d = " { 4 4 3 6 d f f 9 - f 8 0 a - 4 3 f 8 - b 0 c 1 - f 9 3 d a a 0 7 3 5 6 e } "   i s N o r m a l = " 1 " > < s : t e x t > < s : r > < s : t   x m l : s p a c e = " p r e s e r v e " > 	NMQ	N�QJS< / s : t > < / s : r > < / s : t e x t > < / i t e m > < / c o m m e n t > < / c o m m e n t L i s t > < c o m m e n t L i s t   s h e e t S t i d = " 9 " > < c o m m e n t   s : r e f = " C 5 "   r g b C l r = " F F 0 0 0 0 " > < i t e m   i d = " { e 8 9 3 9 f c b - 6 5 e e - 4 0 9 5 - 8 1 2 c - 2 9 5 c 1 9 3 b 1 a a 6 } "   i s N o r m a l = " 1 " > < s : t e x t > < s : r > < s : t   x m l : s p a c e = " p r e s e r v e " > J u n H u   Y u :  
 Џ�~b,g9hncĉ!j�L��f9e�S_ĉ!jN:Ntepe�e�Ǒ(u2  �3 ۏ5 , 7  �8 ۏ5 �v�SRۏL�kXEQT�vĉ!j���{0< / s : t > < / s : r > < / s : t e x t > < / i t e m > < / c o m m e n t > < c o m m e n t   s : r e f = " C 1 7 "   r g b C l r = " F F 0 0 0 0 " > < i t e m   i d = " { 3 6 9 4 9 6 5 9 - a 6 2 9 - 4 6 6 a - 9 3 5 1 - c 9 f 5 8 3 2 b 7 4 b 9 } "   i s N o r m a l = " 1 " > < s : t e x t > < s : r > < s : t   x m l : s p a c e = " p r e s e r v e " > J u n H u   Y u : kX�Q�Qt^ N�N, N��:N0 ��Y�eё��&^eQЏ�{���\�N����n:N0 < / s : t > < / s : r > < / s : t e x t > < / i t e m > < / c o m m e n t > < c o m m e n t   s : r e f = " E 1 7 "   r g b C l r = " F F 0 0 0 0 " > < i t e m   i d = " { d a f 1 7 0 a c - 8 1 a 9 - 4 b c 1 - 9 7 2 6 - 9 5 d 2 f 2 6 6 6 0 e 6 } "   i s N o r m a l = " 1 " > < s : t e x t > < s : r > < s : t   x m l : s p a c e = " p r e s e r v e " > J u n H u   Y u :  
 N��:N0 ��Y�eё��&^eQЏ�{���\�N����n:N0  
 < / s : t > < / s : r > < / s : t e x t > < / i t e m > < / c o m m e n t > < c o m m e n t   s : r e f = " I 1 7 "   r g b C l r = " F F 0 0 0 0 " > < i t e m   i d = " { b e 0 c 2 c 6 a - 5 6 3 5 - 4 3 6 6 - b 9 9 1 - 4 3 6 7 8 8 2 b 5 d e d } "   i s N o r m a l = " 1 " > < s : t e x t > < s : r > < s : t   x m l : s p a c e = " p r e s e r v e " > J u n H u   Y u : �kt^	c�k/e�Q< / s : t > < / s : r > < / s : t e x t > < / i t e m > < / c o m m e n t > < c o m m e n t   s : r e f = " A 2 3 "   r g b C l r = " F F 0 0 0 0 " > < i t e m   i d = " { 3 b 0 2 3 3 7 d - 6 a b 0 - 4 8 f 5 - 8 d c 5 - 3 a a 6 f 0 3 4 6 8 6 a } "   i s N o r m a l = " 1 " > < s : t e x t > < s : r > < s : t   x m l : s p a c e = " p r e s e r v e " > J u n H u   Y u :  
 �S�NR _	cy�kX�Q�_N�S�N�v�c;`��kX�Qdk<h-N0< / s : t > < / s : r > < / s : t e x t > < / i t e m > < / c o m m e n t > < c o m m e n t   s : r e f = " G 2 7 "   r g b C l r = " F F 0 0 0 0 " > < i t e m   i d = " { d e c a 0 5 8 6 - e 4 d d - 4 0 e 1 - a f 9 0 - f a 0 f 3 6 4 9 0 7 e 6 } "   i s N o r m a l = " 1 " > < s : t e x t > < s : r > < s : t   x m l : s p a c e = " p r e s e r v e " > J u n H u   Y u :  
 dk���[:N2 0 t^T�v�k<P��Y�g�N2 5 t^���{��k<PꁨR:N0 ���{< / s : t > < / s : r > < / s : t e x t > < / i t e m > < / c o m m e n t > < c o m m e n t   s : r e f = " I 2 8 "   r g b C l r = " F F 0 0 0 0 " > < i t e m   i d = " { 5 5 1 7 0 5 b f - c d d 7 - 4 b d 0 - 8 5 4 0 - 6 4 4 4 5 c 9 e 4 a f 7 } "   i s N o r m a l = " 1 " > < s : t e x t > < s : r > < s : t   x m l : s p a c e = " p r e s e r v e " > J u n H u   Y u :  
 �k1 0 0 0 k w h �v5u�I{�N�(T�x�c>e 
 < / s : t > < / s : r > < / s : t e x t > < / i t e m > < / c o m m e n t > < c o m m e n t   s : r e f = " G 3 3 "   r g b C l r = " F F 0 0 0 0 " > < i t e m   i d = " { 8 8 a b 0 e 1 6 - e 1 d 5 - 4 4 9 a - 9 b 3 e - 1 9 4 f f 4 5 f 2 0 e 6 } "   i s N o r m a l = " 1 " > < s : t e x t > < s : r > < s : t   x m l : s p a c e = " p r e s e r v e " > J u n H u   Y u :  
 �(u:N0 % �e�؞��hQ��
NQ���{< / s : t > < / s : r > < / s : t e x t > < / i t e m > < / c o m m e n t > < c o m m e n t   s : r e f = " B B 3 6 "   r g b C l r = " F F 0 0 0 0 " > < i t e m   i d = " { 3 b e c c 3 0 0 - 6 e 0 4 - 4 5 4 3 - b 4 d 8 - b 7 7 8 4 1 4 0 b e c 9 } "   i s N o r m a l = " 1 " > < s : t e x t > < s : r > < s : t   x m l : s p a c e = " p r e s e r v e " > J u n H u   Y u :  
 �X<Pz&^eQ���{< / s : t > < / s : r > < / s : t e x t > < / i t e m > < / c o m m e n t > < c o m m e n t   s : r e f = " B F 3 6 "   r g b C l r = " F F 0 0 0 0 " > < i t e m   i d = " { 9 2 1 2 d 8 a 3 - 6 c b 9 - 4 e a 2 - a c 2 4 - 4 2 0 7 1 5 a 4 2 5 6 b } "   i s N o r m a l = " 1 " > < s : t e x t > < s : r > < s : t   x m l : s p a c e = " p r e s e r v e " > J u n H u   Y u :  
 �X<Pz&^eQ���{< / s : t > < / s : r > < / s : t e x t > < / i t e m > < / c o m m e n t > < c o m m e n t   s : r e f = " A F 3 7 "   r g b C l r = " F F 0 0 0 0 " > < i t e m   i d = " { d c 8 4 2 5 5 8 - b e 8 3 - 4 4 a f - 8 1 9 7 - 4 4 5 0 a 6 8 e b 3 c e } "   i s N o r m a l = " 1 " > < s : t e x t > < s : r > < s : t   x m l : s p a c e = " p r e s e r v e " > J u n H u   Y u :  
 �X<PzsS�_sS �5 0 % dkYSO�s< / s : t > < / s : r > < / s : t e x t > < / i t e m > < / c o m m e n t > < c o m m e n t   s : r e f = " A H 3 7 "   r g b C l r = " F F 0 0 0 0 " > < i t e m   i d = " { e 4 9 6 2 8 2 5 - e c 4 0 - 4 2 c e - b 9 6 b - 4 4 2 7 7 8 9 b b 9 d 0 } "   i s N o r m a l = " 1 " > < s : t e x t > < s : r > < s : t   x m l : s p a c e = " p r e s e r v e " > J u n H u   Y u : dkR:N0W�y/e�N>k�A E hQR:N���{:S�W�N��kX�Q�NUO�Q�[ 
 < / s : t > < / s : r > < / s : t e x t > < / i t e m > < / c o m m e n t > < c o m m e n t   s : r e f = " A J 3 7 "   r g b C l r = " F F 0 0 0 0 " > < i t e m   i d = " { b 1 2 8 a 8 9 6 - 8 a c 1 - 4 9 4 3 - b 3 1 9 - 0 7 a c 2 b b d e 6 7 3 } "   i s N o r m a l = " 1 " > < s : t e x t > < s : r > < s : t   x m l : s p a c e = " p r e s e r v e " > J u n H u   Y u :  
 �Sd��Oi�9�_N^\�N^���X�dkpe�]\�Oi�9��Sd�< / s : t > < / s : r > < / s : t e x t > < / i t e m > < / c o m m e n t > < c o m m e n t   s : r e f = " A K 3 7 "   r g b C l r = " F F 0 0 0 0 " > < i t e m   i d = " { 7 c 3 c c 4 0 0 - a c 5 b - 4 8 f 2 - b c f e - 2 1 6 2 5 3 b 2 3 4 5 a } "   i s N o r m a l = " 1 " > < s : t e x t > < s : r > < s : t   x m l : s p a c e = " p r e s e r v e " > J u n H u   Y u : S+T�N�]9�(u< / s : t > < / s : r > < / s : t e x t > < / i t e m > < / c o m m e n t > < c o m m e n t   s : r e f = " A T 3 7 "   r g b C l r = " F F 0 0 0 0 " > < i t e m   i d = " { 4 a e 1 8 4 1 d - a c f 5 - 4 4 2 b - 9 3 b d - 4 c c 0 6 9 f 8 5 9 d 5 } "   i s N o r m a l = " 1 " > < s : t e x t > < s : r > < s : t   x m l : s p a c e = " p r e s e r v e " > J u n H u   Y u :  
 �X<Pz&^eQ���{< / s : t > < / s : r > < / s : t e x t > < / i t e m > < / c o m m e n t > < c o m m e n t   s : r e f = " A U 3 7 "   r g b C l r = " F F 0 0 0 0 " > < i t e m   i d = " { c 9 9 c 2 2 2 e - 8 5 b 9 - 4 2 7 f - 8 b 2 c - 6 5 e 1 2 2 4 4 9 8 2 4 } "   i s N o r m a l = " 1 " > < s : t e x t > < s : r > < s : t   x m l : s p a c e = " p r e s e r v e " > J u n H u   Y u :  
 �X<Pz&^eQ���{< / s : t > < / s : r > < / s : t e x t > < / i t e m > < / c o m m e n t > < c o m m e n t   s : r e f = " B B 3 7 "   r g b C l r = " F F 0 0 0 0 " > < i t e m   i d = " { 6 9 0 a 5 8 3 b - e 7 0 1 - 4 7 c 1 - 8 1 6 1 - 0 a d 5 5 7 4 c a 2 a 6 } "   i s N o r m a l = " 1 " > < s : t e x t > < s : r > < s : t   x m l : s p a c e = " p r e s e r v e " > J u n H u   Y u :  
 dk:NR�YD�,gё< / s : t > < / s : r > < / s : t e x t > < / i t e m > < / c o m m e n t > < c o m m e n t   s : r e f = " B D 3 7 "   r g b C l r = " F F 0 0 0 0 " > < i t e m   i d = " { f 2 f 6 c 0 1 7 - b 2 6 4 - 4 e 5 8 - b 4 d d - 7 1 1 e 7 b 8 0 e 7 7 d } "   i s N o r m a l = " 1 " > < s : t e x t > < s : r > < s : t   x m l : s p a c e = " p r e s e r v e " > J u n H u   Y u :  
 dk:NR�YD�,gё< / s : t > < / s : r > < / s : t e x t > < / i t e m > < / c o m m e n t > < c o m m e n t   s : r e f = " H 3 8 "   r g b C l r = " F F 0 0 0 0 " > < i t e m   i d = " { c 7 6 9 0 3 b 8 - d 6 b 7 - 4 6 6 2 - b 6 5 5 - 2 5 c e e f a e c 2 a c } "   i s N o r m a l = " 1 " > < s : t e x t > < s : r > < s : t   x m l : s p a c e = " p r e s e r v e " > J u n H u   Y u :  
 0 �Nh�8l܏N0R< / s : t > < / s : r > < / s : t e x t > < / i t e m > < / c o m m e n t > < c o m m e n t   s : r e f = " D 4 0 "   r g b C l r = " F F 0 0 0 0 " > < i t e m   i d = " { 1 1 2 3 a 9 d 9 - a b f 4 - 4 6 7 9 - 8 8 3 f - e d 7 d 8 6 8 0 0 b b c } "   i s N o r m a l = " 1 " > < s : t e x t > < s : r > < s : t   x m l : s p a c e = " p r e s e r v e " > J u n H u   Y u :  
 y��v��Y>k+T�v1 7 % �X<Pz�S�N�bcb< / s : t > < / s : r > < / s : t e x t > < / i t e m > < / c o m m e n t > < c o m m e n t   s : r e f = " H 4 1 "   r g b C l r = " F F 0 0 0 0 " > < i t e m   i d = " { 0 1 f f d b 9 8 - 2 b 9 6 - 4 9 a b - b 3 8 b - f e 1 6 7 f 8 b 5 7 2 7 } "   i s N o r m a l = " 1 " > < s : t e x t > < s : r > < s : t   x m l : s p a c e = " p r e s e r v e " > J u n H u   Y u :  
 5u�z�^b g�_,{5 t^�e�S�N�S�MR�c/f	gُ*N?eV{�dk?eV{ N,�2 - 3 t^ NN���^��g'`?eV{��e�lN�X<Pz�bcbT�e�N�S0< / s : t > < / s : r > < / s : t e x t > < / i t e m > < / c o m m e n t > < c o m m e n t   s : r e f = " I 4 1 "   r g b C l r = " F F 0 0 0 0 " > < i t e m   i d = " { e 8 2 a 8 2 d e - 8 5 6 6 - 4 1 4 0 - b b 1 0 - 6 4 1 b a b 4 6 0 7 1 b } "   i s N o r m a l = " 1 " > < s : t e x t > < s : r > < s : t   x m l : s p a c e = " p r e s e r v e " > J u n H u   Y u :  
 @b�_zMR	Nt^MQ�_�T	Nt^�QJS�_6e0< / s : t > < / s : r > < / s : t e x t > < / i t e m > < / c o m m e n t > < c o m m e n t   s : r e f = " A H 6 5 "   r g b C l r = " F F 0 0 0 0 " > < i t e m   i d = " { a 9 d f b d e f - c c 9 0 - 4 b 6 0 - 8 a 8 f - b 9 f 9 9 3 d 5 c e 6 1 } "   i s N o r m a l = " 1 " > < s : t e x t > < s : r > < s : t   x m l : s p a c e = " p r e s e r v e " > J u n H u   Y u : dkR:N0W�y/e�N>k�A E hQR:N���{:S�W�N��kX�Q�NUO�Q�[ 
 < / s : t > < / s : r > < / s : t e x t > < / i t e m > < / c o m m e n t > < c o m m e n t   s : r e f = " A J 6 5 "   r g b C l r = " F F 0 0 0 0 " > < i t e m   i d = " { 9 a 7 e 8 b 9 e - a e f 8 - 4 d f 2 - 9 0 e 7 - c a 2 f 8 6 9 7 0 9 7 a } "   i s N o r m a l = " 1 " > < s : t e x t > < s : r > < s : t   x m l : s p a c e = " p r e s e r v e " > J u n H u   Y u :  
 �Sd��Oi�9�_N^\�N^���X�dkpe�]\�Oi�9��Sd�< / s : t > < / s : r > < / s : t e x t > < / i t e m > < / c o m m e n t > < c o m m e n t   s : r e f = " A K 6 5 "   r g b C l r = " F F 0 0 0 0 " > < i t e m   i d = " { b a d 3 7 9 1 c - c 2 a 4 - 4 1 d 9 - b 8 6 6 - 6 c 8 b 6 6 5 6 5 5 e 7 } "   i s N o r m a l = " 1 " > < s : t e x t > < s : r > < s : t   x m l : s p a c e = " p r e s e r v e " > J u n H u   Y u : S+T�N�]9�(u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w o S h e e t P r o p s   s h e e t S t i d = " 8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w o S h e e t P r o p s   s h e e t S t i d = " 9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2 " / > < p i x e l a t o r L i s t   s h e e t S t i d = " 8 " / > < p i x e l a t o r L i s t   s h e e t S t i d = " 3 " / > < p i x e l a t o r L i s t   s h e e t S t i d = " 9 " / > < p i x e l a t o r L i s t   s h e e t S t i d = " 1 0 " / > < p i x e l a t o r L i s t   s h e e t S t i d = " 4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运维成本</vt:lpstr>
      <vt:lpstr>Assump</vt:lpstr>
      <vt:lpstr>Sheet3</vt:lpstr>
      <vt:lpstr>Cash Flow</vt:lpstr>
      <vt:lpstr>填报信息</vt:lpstr>
      <vt:lpstr>项目手续评估表</vt:lpstr>
      <vt:lpstr>增值税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姚伟龙</cp:lastModifiedBy>
  <dcterms:created xsi:type="dcterms:W3CDTF">2009-09-22T16:38:00Z</dcterms:created>
  <cp:lastPrinted>2016-12-30T16:59:00Z</cp:lastPrinted>
  <dcterms:modified xsi:type="dcterms:W3CDTF">2023-11-18T02:49:01Z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57380126D9724995B9E93E9BCA3F913C_12</vt:lpwstr>
  </property>
</Properties>
</file>