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80" windowWidth="15390" windowHeight="6390" tabRatio="555"/>
  </bookViews>
  <sheets>
    <sheet name="测算模型" sheetId="4" r:id="rId1"/>
    <sheet name="C01" sheetId="2" state="veryHidden" r:id="rId2"/>
    <sheet name="Configuration" sheetId="3" state="hidden" r:id="rId3"/>
    <sheet name="测算结果附表" sheetId="48" r:id="rId4"/>
    <sheet name="模型使用说明" sheetId="47" r:id="rId5"/>
  </sheets>
  <definedNames>
    <definedName name="_xlnm._FilterDatabase" localSheetId="0" hidden="1">测算模型!$B$9:$O$9</definedName>
    <definedName name="Currency_List">OFFSET(Configuration!$C$1,1,0,COUNTA(Configuration!$C:$C)-1,1)</definedName>
    <definedName name="Debt_Service_Method">OFFSET(Configuration!$I$1,1,0,COUNTA(Configuration!$I:$I)-1,1)</definedName>
    <definedName name="Land_Acquisition_Approach">OFFSET(Configuration!$E$1,1,0,COUNTA(Configuration!$E:$E)-1,1)</definedName>
    <definedName name="Land_Rent_Type">OFFSET(Configuration!$G$1,1,0,COUNTA(Configuration!$G:$G)-1,1)</definedName>
    <definedName name="_xlnm.Print_Area" localSheetId="1">'C01'!$A$19:$V$65</definedName>
    <definedName name="_xlnm.Print_Area" localSheetId="0">测算模型!$A$1:$K$43</definedName>
    <definedName name="Project_Type">OFFSET(Configuration!$A$1,1,0,COUNTA(Configuration!$A:$A)-1,1)</definedName>
    <definedName name="ProjectCapacity">'C01'!#REF!</definedName>
    <definedName name="ProjectCurremcy">测算模型!$C$18</definedName>
  </definedNames>
  <calcPr calcId="145621"/>
</workbook>
</file>

<file path=xl/calcChain.xml><?xml version="1.0" encoding="utf-8"?>
<calcChain xmlns="http://schemas.openxmlformats.org/spreadsheetml/2006/main">
  <c r="F28" i="4" l="1"/>
  <c r="I38" i="4"/>
  <c r="J16" i="4" l="1"/>
  <c r="L37" i="4" l="1"/>
  <c r="H39" i="4"/>
  <c r="O9" i="4" l="1"/>
  <c r="L44" i="48" l="1"/>
  <c r="V32" i="2" l="1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L8" i="4" l="1"/>
  <c r="L11" i="4"/>
  <c r="I39" i="4" l="1"/>
  <c r="C22" i="2" l="1"/>
  <c r="D22" i="2" s="1"/>
  <c r="E22" i="2" s="1"/>
  <c r="F22" i="2" s="1"/>
  <c r="G22" i="2" s="1"/>
  <c r="H22" i="2" s="1"/>
  <c r="I22" i="2" s="1"/>
  <c r="J22" i="2" s="1"/>
  <c r="K22" i="2" s="1"/>
  <c r="L22" i="2" s="1"/>
  <c r="M22" i="2" s="1"/>
  <c r="N22" i="2" s="1"/>
  <c r="O22" i="2" s="1"/>
  <c r="P22" i="2" s="1"/>
  <c r="Q22" i="2" s="1"/>
  <c r="R22" i="2" s="1"/>
  <c r="S22" i="2" s="1"/>
  <c r="T22" i="2" s="1"/>
  <c r="U22" i="2" s="1"/>
  <c r="V22" i="2" s="1"/>
  <c r="C87" i="2" l="1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C63" i="2" l="1"/>
  <c r="C68" i="2"/>
  <c r="R111" i="2" l="1"/>
  <c r="R110" i="2" s="1"/>
  <c r="S111" i="2"/>
  <c r="S110" i="2" s="1"/>
  <c r="T111" i="2"/>
  <c r="T110" i="2" s="1"/>
  <c r="U111" i="2"/>
  <c r="U110" i="2" s="1"/>
  <c r="V111" i="2"/>
  <c r="V110" i="2" s="1"/>
  <c r="S91" i="2"/>
  <c r="T91" i="2"/>
  <c r="U91" i="2"/>
  <c r="V91" i="2"/>
  <c r="B95" i="2"/>
  <c r="B83" i="2"/>
  <c r="B79" i="2"/>
  <c r="B78" i="2" l="1"/>
  <c r="L31" i="2" l="1"/>
  <c r="H42" i="48" s="1"/>
  <c r="C34" i="4"/>
  <c r="B61" i="2"/>
  <c r="B45" i="2"/>
  <c r="L52" i="2" l="1"/>
  <c r="U31" i="2"/>
  <c r="D31" i="2"/>
  <c r="M31" i="2"/>
  <c r="E31" i="2"/>
  <c r="T31" i="2"/>
  <c r="I31" i="2"/>
  <c r="H31" i="2"/>
  <c r="Q31" i="2"/>
  <c r="J42" i="48" s="1"/>
  <c r="F31" i="2"/>
  <c r="P31" i="2"/>
  <c r="C31" i="2"/>
  <c r="C70" i="2" s="1"/>
  <c r="S31" i="2"/>
  <c r="O31" i="2"/>
  <c r="K31" i="2"/>
  <c r="G31" i="2"/>
  <c r="F42" i="48" s="1"/>
  <c r="V31" i="2"/>
  <c r="L42" i="48" s="1"/>
  <c r="R31" i="2"/>
  <c r="N31" i="2"/>
  <c r="J31" i="2"/>
  <c r="D42" i="48" l="1"/>
  <c r="V52" i="2"/>
  <c r="S52" i="2"/>
  <c r="Q52" i="2"/>
  <c r="E52" i="2"/>
  <c r="J52" i="2"/>
  <c r="G52" i="2"/>
  <c r="H52" i="2"/>
  <c r="M52" i="2"/>
  <c r="N52" i="2"/>
  <c r="K52" i="2"/>
  <c r="P52" i="2"/>
  <c r="I52" i="2"/>
  <c r="D52" i="2"/>
  <c r="R52" i="2"/>
  <c r="O52" i="2"/>
  <c r="F52" i="2"/>
  <c r="T52" i="2"/>
  <c r="U52" i="2"/>
  <c r="C52" i="2"/>
  <c r="B33" i="4"/>
  <c r="L13" i="4" s="1"/>
  <c r="B32" i="4"/>
  <c r="L15" i="4" s="1"/>
  <c r="I21" i="4" l="1"/>
  <c r="J22" i="4"/>
  <c r="J17" i="4"/>
  <c r="M29" i="4" l="1"/>
  <c r="M28" i="4"/>
  <c r="M27" i="4"/>
  <c r="M26" i="4"/>
  <c r="M25" i="4"/>
  <c r="M24" i="4"/>
  <c r="M23" i="4"/>
  <c r="I29" i="4"/>
  <c r="M30" i="4" l="1"/>
  <c r="L39" i="4"/>
  <c r="C53" i="2" s="1"/>
  <c r="I35" i="4"/>
  <c r="M39" i="4" l="1"/>
  <c r="D53" i="2" s="1"/>
  <c r="D70" i="2" s="1"/>
  <c r="F34" i="4"/>
  <c r="B22" i="4"/>
  <c r="L6" i="4" s="1"/>
  <c r="C85" i="2" l="1"/>
  <c r="N39" i="4"/>
  <c r="E53" i="2" s="1"/>
  <c r="E70" i="2" s="1"/>
  <c r="D85" i="2" l="1"/>
  <c r="O39" i="4"/>
  <c r="F53" i="2" s="1"/>
  <c r="F70" i="2" s="1"/>
  <c r="AA2" i="4"/>
  <c r="E85" i="2" l="1"/>
  <c r="P39" i="4"/>
  <c r="G53" i="2" s="1"/>
  <c r="G70" i="2" s="1"/>
  <c r="O15" i="4"/>
  <c r="M13" i="4"/>
  <c r="M15" i="4" s="1"/>
  <c r="N13" i="4"/>
  <c r="N15" i="4" s="1"/>
  <c r="Q13" i="4"/>
  <c r="Q15" i="4" s="1"/>
  <c r="P13" i="4"/>
  <c r="P15" i="4" s="1"/>
  <c r="F85" i="2" l="1"/>
  <c r="Q39" i="4"/>
  <c r="H53" i="2" s="1"/>
  <c r="H70" i="2" s="1"/>
  <c r="D23" i="48"/>
  <c r="E31" i="48"/>
  <c r="F31" i="48"/>
  <c r="G31" i="48"/>
  <c r="H31" i="48"/>
  <c r="I31" i="48"/>
  <c r="J31" i="48"/>
  <c r="K31" i="48"/>
  <c r="L31" i="48"/>
  <c r="M31" i="48"/>
  <c r="D31" i="48"/>
  <c r="F26" i="48"/>
  <c r="G26" i="48"/>
  <c r="H26" i="48"/>
  <c r="I26" i="48"/>
  <c r="J26" i="48"/>
  <c r="K26" i="48"/>
  <c r="L26" i="48"/>
  <c r="M26" i="48"/>
  <c r="E26" i="48"/>
  <c r="D26" i="48"/>
  <c r="D25" i="48"/>
  <c r="C32" i="4"/>
  <c r="R39" i="4" l="1"/>
  <c r="I53" i="2" s="1"/>
  <c r="I70" i="2" s="1"/>
  <c r="G85" i="2"/>
  <c r="D27" i="48"/>
  <c r="D28" i="48" s="1"/>
  <c r="D38" i="48" s="1"/>
  <c r="E27" i="48"/>
  <c r="E25" i="48"/>
  <c r="H85" i="2" l="1"/>
  <c r="S39" i="4"/>
  <c r="J53" i="2" s="1"/>
  <c r="J70" i="2" s="1"/>
  <c r="F27" i="48"/>
  <c r="G27" i="48" s="1"/>
  <c r="H27" i="48" s="1"/>
  <c r="I27" i="48" s="1"/>
  <c r="J27" i="48" s="1"/>
  <c r="K27" i="48" s="1"/>
  <c r="L27" i="48" s="1"/>
  <c r="M27" i="48" s="1"/>
  <c r="D32" i="48" s="1"/>
  <c r="E32" i="48" s="1"/>
  <c r="F32" i="48" s="1"/>
  <c r="G32" i="48" s="1"/>
  <c r="H32" i="48" s="1"/>
  <c r="I32" i="48" s="1"/>
  <c r="J32" i="48" s="1"/>
  <c r="K32" i="48" s="1"/>
  <c r="L32" i="48" s="1"/>
  <c r="M32" i="48" s="1"/>
  <c r="F25" i="48"/>
  <c r="E28" i="48"/>
  <c r="I85" i="2" l="1"/>
  <c r="T39" i="4"/>
  <c r="K53" i="2" s="1"/>
  <c r="K70" i="2" s="1"/>
  <c r="G25" i="48"/>
  <c r="F28" i="48"/>
  <c r="J85" i="2" l="1"/>
  <c r="U39" i="4"/>
  <c r="L53" i="2" s="1"/>
  <c r="L70" i="2" s="1"/>
  <c r="G28" i="48"/>
  <c r="H25" i="48"/>
  <c r="K85" i="2" l="1"/>
  <c r="L41" i="4"/>
  <c r="M53" i="2" s="1"/>
  <c r="M70" i="2" s="1"/>
  <c r="H28" i="48"/>
  <c r="F38" i="48" s="1"/>
  <c r="I25" i="48"/>
  <c r="M11" i="4"/>
  <c r="N11" i="4"/>
  <c r="Q11" i="4"/>
  <c r="P11" i="4"/>
  <c r="N9" i="4"/>
  <c r="M9" i="4"/>
  <c r="O8" i="4"/>
  <c r="M8" i="4" s="1"/>
  <c r="M6" i="4"/>
  <c r="N6" i="4"/>
  <c r="Q6" i="4"/>
  <c r="P6" i="4"/>
  <c r="M41" i="4" l="1"/>
  <c r="N53" i="2" s="1"/>
  <c r="N70" i="2" s="1"/>
  <c r="L85" i="2"/>
  <c r="Q9" i="4"/>
  <c r="P9" i="4"/>
  <c r="N8" i="4"/>
  <c r="J25" i="48"/>
  <c r="I28" i="48"/>
  <c r="Q8" i="4"/>
  <c r="P8" i="4"/>
  <c r="M85" i="2" l="1"/>
  <c r="N41" i="4"/>
  <c r="O53" i="2" s="1"/>
  <c r="O70" i="2" s="1"/>
  <c r="K25" i="48"/>
  <c r="J28" i="48"/>
  <c r="P4" i="4"/>
  <c r="A2" i="2"/>
  <c r="O41" i="4" l="1"/>
  <c r="P53" i="2" s="1"/>
  <c r="P70" i="2" s="1"/>
  <c r="N85" i="2"/>
  <c r="K28" i="48"/>
  <c r="L25" i="48"/>
  <c r="M4" i="4"/>
  <c r="N4" i="4"/>
  <c r="Q4" i="4"/>
  <c r="O85" i="2" l="1"/>
  <c r="P41" i="4"/>
  <c r="Q53" i="2" s="1"/>
  <c r="Q70" i="2" s="1"/>
  <c r="L28" i="48"/>
  <c r="M25" i="48"/>
  <c r="Q85" i="2" l="1"/>
  <c r="Q41" i="4"/>
  <c r="R53" i="2" s="1"/>
  <c r="R70" i="2" s="1"/>
  <c r="P85" i="2"/>
  <c r="M28" i="48"/>
  <c r="H38" i="48" s="1"/>
  <c r="D30" i="48"/>
  <c r="R41" i="4" l="1"/>
  <c r="S53" i="2" s="1"/>
  <c r="S70" i="2" s="1"/>
  <c r="D33" i="48"/>
  <c r="E30" i="48"/>
  <c r="R85" i="2" l="1"/>
  <c r="S41" i="4"/>
  <c r="T53" i="2" s="1"/>
  <c r="T70" i="2" s="1"/>
  <c r="F30" i="48"/>
  <c r="E33" i="48"/>
  <c r="C2" i="4"/>
  <c r="A1" i="2"/>
  <c r="J39" i="4"/>
  <c r="J38" i="4"/>
  <c r="I34" i="4"/>
  <c r="I33" i="4"/>
  <c r="I32" i="4"/>
  <c r="I30" i="4"/>
  <c r="I31" i="4"/>
  <c r="I28" i="4"/>
  <c r="I27" i="4"/>
  <c r="I26" i="4"/>
  <c r="I24" i="4"/>
  <c r="I23" i="4"/>
  <c r="I22" i="4"/>
  <c r="I18" i="4"/>
  <c r="S85" i="2" l="1"/>
  <c r="T41" i="4"/>
  <c r="U53" i="2" s="1"/>
  <c r="U70" i="2" s="1"/>
  <c r="G30" i="48"/>
  <c r="F33" i="48"/>
  <c r="C37" i="4"/>
  <c r="T85" i="2" l="1"/>
  <c r="U41" i="4"/>
  <c r="V53" i="2" s="1"/>
  <c r="V70" i="2" s="1"/>
  <c r="H30" i="48"/>
  <c r="G33" i="48"/>
  <c r="V85" i="2" l="1"/>
  <c r="U85" i="2"/>
  <c r="H33" i="48"/>
  <c r="J38" i="48" s="1"/>
  <c r="I30" i="48"/>
  <c r="J30" i="48" l="1"/>
  <c r="I33" i="48"/>
  <c r="K30" i="48" l="1"/>
  <c r="J33" i="48"/>
  <c r="K33" i="48" l="1"/>
  <c r="L30" i="48"/>
  <c r="L33" i="48" l="1"/>
  <c r="M30" i="48"/>
  <c r="M33" i="48" s="1"/>
  <c r="J34" i="48" l="1"/>
  <c r="D34" i="48"/>
  <c r="L38" i="48"/>
  <c r="I19" i="4" l="1"/>
  <c r="I36" i="4"/>
  <c r="F36" i="4" l="1"/>
  <c r="I20" i="4" l="1"/>
  <c r="H34" i="2" l="1"/>
  <c r="S34" i="2"/>
  <c r="Q34" i="2"/>
  <c r="N34" i="2"/>
  <c r="K34" i="2"/>
  <c r="L34" i="2"/>
  <c r="E34" i="2"/>
  <c r="U34" i="2"/>
  <c r="R34" i="2"/>
  <c r="O34" i="2"/>
  <c r="P34" i="2"/>
  <c r="I34" i="2"/>
  <c r="F34" i="2"/>
  <c r="V34" i="2"/>
  <c r="C34" i="2"/>
  <c r="C108" i="2" s="1"/>
  <c r="D34" i="2"/>
  <c r="T34" i="2"/>
  <c r="M34" i="2"/>
  <c r="J34" i="2"/>
  <c r="G34" i="2"/>
  <c r="I25" i="4"/>
  <c r="D108" i="2" l="1"/>
  <c r="E108" i="2" s="1"/>
  <c r="F108" i="2" s="1"/>
  <c r="G108" i="2" s="1"/>
  <c r="H108" i="2" s="1"/>
  <c r="I108" i="2" s="1"/>
  <c r="J108" i="2" s="1"/>
  <c r="K108" i="2" s="1"/>
  <c r="L108" i="2" s="1"/>
  <c r="M108" i="2" s="1"/>
  <c r="N108" i="2" s="1"/>
  <c r="O108" i="2" s="1"/>
  <c r="P108" i="2" s="1"/>
  <c r="Q108" i="2" s="1"/>
  <c r="R108" i="2" s="1"/>
  <c r="S108" i="2" s="1"/>
  <c r="T108" i="2" s="1"/>
  <c r="U108" i="2" s="1"/>
  <c r="V108" i="2" s="1"/>
  <c r="J40" i="4"/>
  <c r="I17" i="4"/>
  <c r="I16" i="4" l="1"/>
  <c r="B6" i="4"/>
  <c r="B10" i="4"/>
  <c r="B9" i="2" l="1"/>
  <c r="B15" i="2" s="1"/>
  <c r="C11" i="2" s="1"/>
  <c r="C14" i="2" s="1"/>
  <c r="B106" i="2"/>
  <c r="B93" i="2"/>
  <c r="B113" i="2" s="1"/>
  <c r="B94" i="2"/>
  <c r="B111" i="2" s="1"/>
  <c r="B110" i="2" s="1"/>
  <c r="B67" i="2"/>
  <c r="B66" i="2" s="1"/>
  <c r="B73" i="2" s="1"/>
  <c r="B90" i="2"/>
  <c r="B89" i="2" s="1"/>
  <c r="B87" i="2" s="1"/>
  <c r="B51" i="2"/>
  <c r="B50" i="2" s="1"/>
  <c r="B56" i="2" s="1"/>
  <c r="I40" i="4"/>
  <c r="B28" i="2" s="1"/>
  <c r="F35" i="4"/>
  <c r="C33" i="2" s="1"/>
  <c r="D43" i="48" s="1"/>
  <c r="C107" i="2" l="1"/>
  <c r="V49" i="2"/>
  <c r="V65" i="2"/>
  <c r="V88" i="2" s="1"/>
  <c r="V87" i="2" s="1"/>
  <c r="I33" i="2"/>
  <c r="L33" i="2"/>
  <c r="H43" i="48" s="1"/>
  <c r="O33" i="2"/>
  <c r="R33" i="2"/>
  <c r="U33" i="2"/>
  <c r="U30" i="2" s="1"/>
  <c r="E33" i="2"/>
  <c r="H33" i="2"/>
  <c r="K33" i="2"/>
  <c r="N33" i="2"/>
  <c r="Q33" i="2"/>
  <c r="J43" i="48" s="1"/>
  <c r="T33" i="2"/>
  <c r="T30" i="2" s="1"/>
  <c r="D33" i="2"/>
  <c r="G33" i="2"/>
  <c r="F43" i="48" s="1"/>
  <c r="J33" i="2"/>
  <c r="M33" i="2"/>
  <c r="P33" i="2"/>
  <c r="S33" i="2"/>
  <c r="S30" i="2" s="1"/>
  <c r="V33" i="2"/>
  <c r="F33" i="2"/>
  <c r="C5" i="2"/>
  <c r="C9" i="2" s="1"/>
  <c r="D6" i="2" s="1"/>
  <c r="B74" i="2"/>
  <c r="C15" i="2"/>
  <c r="P13" i="2" s="1"/>
  <c r="B112" i="2"/>
  <c r="B109" i="2" s="1"/>
  <c r="B105" i="2" s="1"/>
  <c r="B104" i="2" s="1"/>
  <c r="C113" i="2"/>
  <c r="D113" i="2" s="1"/>
  <c r="E113" i="2" s="1"/>
  <c r="F113" i="2" s="1"/>
  <c r="G113" i="2" s="1"/>
  <c r="H113" i="2" s="1"/>
  <c r="I113" i="2" s="1"/>
  <c r="J113" i="2" s="1"/>
  <c r="K113" i="2" s="1"/>
  <c r="L113" i="2" s="1"/>
  <c r="M113" i="2" s="1"/>
  <c r="N113" i="2" s="1"/>
  <c r="O113" i="2" s="1"/>
  <c r="P113" i="2" s="1"/>
  <c r="Q113" i="2" s="1"/>
  <c r="R113" i="2" s="1"/>
  <c r="S113" i="2" s="1"/>
  <c r="T113" i="2" s="1"/>
  <c r="U113" i="2" s="1"/>
  <c r="V113" i="2" s="1"/>
  <c r="B92" i="2"/>
  <c r="B91" i="2" s="1"/>
  <c r="B99" i="2" s="1"/>
  <c r="B100" i="2" s="1"/>
  <c r="C25" i="4"/>
  <c r="V30" i="2" l="1"/>
  <c r="L45" i="48" s="1"/>
  <c r="L43" i="48"/>
  <c r="C8" i="2"/>
  <c r="C35" i="2" s="1"/>
  <c r="C23" i="4"/>
  <c r="B21" i="2"/>
  <c r="D107" i="2"/>
  <c r="E107" i="2" s="1"/>
  <c r="H13" i="2"/>
  <c r="K6" i="2"/>
  <c r="G6" i="2"/>
  <c r="O6" i="2"/>
  <c r="E6" i="2"/>
  <c r="I6" i="2"/>
  <c r="D5" i="2"/>
  <c r="D8" i="2" s="1"/>
  <c r="M6" i="2"/>
  <c r="R6" i="2"/>
  <c r="R13" i="2"/>
  <c r="D13" i="2"/>
  <c r="N13" i="2"/>
  <c r="I13" i="2"/>
  <c r="L13" i="2"/>
  <c r="J13" i="2"/>
  <c r="G13" i="2"/>
  <c r="D11" i="2"/>
  <c r="D14" i="2" s="1"/>
  <c r="H6" i="2"/>
  <c r="M13" i="2"/>
  <c r="L6" i="2"/>
  <c r="J6" i="2"/>
  <c r="P6" i="2"/>
  <c r="K13" i="2"/>
  <c r="F13" i="2"/>
  <c r="E13" i="2"/>
  <c r="Q6" i="2"/>
  <c r="Q13" i="2"/>
  <c r="F6" i="2"/>
  <c r="N6" i="2"/>
  <c r="O13" i="2"/>
  <c r="C30" i="2" l="1"/>
  <c r="D45" i="48" s="1"/>
  <c r="D44" i="48"/>
  <c r="S21" i="2"/>
  <c r="C21" i="2"/>
  <c r="J21" i="2"/>
  <c r="J25" i="2" s="1"/>
  <c r="C69" i="2"/>
  <c r="C97" i="2" s="1"/>
  <c r="C95" i="2" s="1"/>
  <c r="C91" i="2" s="1"/>
  <c r="R21" i="2"/>
  <c r="R25" i="2" s="1"/>
  <c r="N21" i="2"/>
  <c r="N25" i="2" s="1"/>
  <c r="F21" i="2"/>
  <c r="F25" i="2" s="1"/>
  <c r="V21" i="2"/>
  <c r="E21" i="2"/>
  <c r="E25" i="2" s="1"/>
  <c r="I21" i="2"/>
  <c r="I25" i="2" s="1"/>
  <c r="M21" i="2"/>
  <c r="M25" i="2" s="1"/>
  <c r="Q21" i="2"/>
  <c r="Q25" i="2" s="1"/>
  <c r="U21" i="2"/>
  <c r="D21" i="2"/>
  <c r="D25" i="2" s="1"/>
  <c r="H21" i="2"/>
  <c r="H25" i="2" s="1"/>
  <c r="L21" i="2"/>
  <c r="L25" i="2" s="1"/>
  <c r="P21" i="2"/>
  <c r="P25" i="2" s="1"/>
  <c r="T21" i="2"/>
  <c r="G21" i="2"/>
  <c r="G25" i="2" s="1"/>
  <c r="K21" i="2"/>
  <c r="K25" i="2" s="1"/>
  <c r="O21" i="2"/>
  <c r="O25" i="2" s="1"/>
  <c r="D69" i="2"/>
  <c r="D97" i="2" s="1"/>
  <c r="D12" i="2"/>
  <c r="D15" i="2"/>
  <c r="E11" i="2" s="1"/>
  <c r="E15" i="2" s="1"/>
  <c r="F11" i="2" s="1"/>
  <c r="F15" i="2" s="1"/>
  <c r="G11" i="2" s="1"/>
  <c r="F107" i="2"/>
  <c r="D7" i="2"/>
  <c r="D35" i="2"/>
  <c r="D30" i="2" s="1"/>
  <c r="F37" i="4"/>
  <c r="F33" i="4"/>
  <c r="C25" i="2" l="1"/>
  <c r="C64" i="2" s="1"/>
  <c r="C82" i="2" s="1"/>
  <c r="C39" i="2"/>
  <c r="D39" i="2"/>
  <c r="I64" i="2"/>
  <c r="I82" i="2" s="1"/>
  <c r="U25" i="2"/>
  <c r="U39" i="2"/>
  <c r="S25" i="2"/>
  <c r="S39" i="2"/>
  <c r="V25" i="2"/>
  <c r="V39" i="2"/>
  <c r="T25" i="2"/>
  <c r="T39" i="2"/>
  <c r="S23" i="2"/>
  <c r="S24" i="2"/>
  <c r="F24" i="2"/>
  <c r="J23" i="2"/>
  <c r="J24" i="2"/>
  <c r="F23" i="2"/>
  <c r="N23" i="2"/>
  <c r="H23" i="2"/>
  <c r="H24" i="2"/>
  <c r="M24" i="2"/>
  <c r="C23" i="2"/>
  <c r="M23" i="2"/>
  <c r="V23" i="2"/>
  <c r="L40" i="48" s="1"/>
  <c r="C24" i="2"/>
  <c r="Q23" i="2"/>
  <c r="J40" i="48" s="1"/>
  <c r="V24" i="2"/>
  <c r="N24" i="2"/>
  <c r="K23" i="2"/>
  <c r="R23" i="2"/>
  <c r="R24" i="2"/>
  <c r="T23" i="2"/>
  <c r="P23" i="2"/>
  <c r="D23" i="2"/>
  <c r="L23" i="2"/>
  <c r="H40" i="48" s="1"/>
  <c r="Q24" i="2"/>
  <c r="J41" i="48" s="1"/>
  <c r="I24" i="2"/>
  <c r="E24" i="2"/>
  <c r="G23" i="2"/>
  <c r="F40" i="48" s="1"/>
  <c r="L24" i="2"/>
  <c r="H41" i="48" s="1"/>
  <c r="U24" i="2"/>
  <c r="E23" i="2"/>
  <c r="K24" i="2"/>
  <c r="U23" i="2"/>
  <c r="O23" i="2"/>
  <c r="O24" i="2"/>
  <c r="G24" i="2"/>
  <c r="F41" i="48" s="1"/>
  <c r="P24" i="2"/>
  <c r="T24" i="2"/>
  <c r="D24" i="2"/>
  <c r="E63" i="2" s="1"/>
  <c r="E81" i="2" s="1"/>
  <c r="I23" i="2"/>
  <c r="F14" i="2"/>
  <c r="F12" i="2" s="1"/>
  <c r="E14" i="2"/>
  <c r="E12" i="2" s="1"/>
  <c r="G107" i="2"/>
  <c r="O64" i="2"/>
  <c r="O82" i="2" s="1"/>
  <c r="D9" i="2"/>
  <c r="D68" i="2"/>
  <c r="D96" i="2" s="1"/>
  <c r="D95" i="2" s="1"/>
  <c r="D91" i="2" s="1"/>
  <c r="L64" i="2"/>
  <c r="L82" i="2" s="1"/>
  <c r="Q64" i="2"/>
  <c r="Q82" i="2" s="1"/>
  <c r="F64" i="2"/>
  <c r="F82" i="2" s="1"/>
  <c r="J64" i="2"/>
  <c r="J82" i="2" s="1"/>
  <c r="E64" i="2"/>
  <c r="E82" i="2" s="1"/>
  <c r="G64" i="2"/>
  <c r="G82" i="2" s="1"/>
  <c r="P64" i="2"/>
  <c r="P82" i="2" s="1"/>
  <c r="N64" i="2"/>
  <c r="N82" i="2" s="1"/>
  <c r="H64" i="2"/>
  <c r="H82" i="2" s="1"/>
  <c r="M64" i="2"/>
  <c r="M82" i="2" s="1"/>
  <c r="R64" i="2"/>
  <c r="R82" i="2" s="1"/>
  <c r="K64" i="2"/>
  <c r="K82" i="2" s="1"/>
  <c r="E48" i="2"/>
  <c r="N48" i="2"/>
  <c r="P48" i="2"/>
  <c r="K48" i="2"/>
  <c r="H48" i="2"/>
  <c r="M48" i="2"/>
  <c r="R48" i="2"/>
  <c r="F48" i="2"/>
  <c r="L48" i="2"/>
  <c r="Q48" i="2"/>
  <c r="O48" i="2"/>
  <c r="J48" i="2"/>
  <c r="I48" i="2"/>
  <c r="G48" i="2"/>
  <c r="G15" i="2"/>
  <c r="H11" i="2" s="1"/>
  <c r="G14" i="2"/>
  <c r="G12" i="2" s="1"/>
  <c r="B8" i="4"/>
  <c r="L41" i="48" l="1"/>
  <c r="D41" i="48"/>
  <c r="D39" i="48"/>
  <c r="D40" i="48"/>
  <c r="L39" i="48"/>
  <c r="H39" i="48"/>
  <c r="J39" i="48"/>
  <c r="F39" i="48"/>
  <c r="D48" i="2"/>
  <c r="C48" i="2"/>
  <c r="D64" i="2"/>
  <c r="D82" i="2" s="1"/>
  <c r="U63" i="2"/>
  <c r="U81" i="2" s="1"/>
  <c r="V48" i="2"/>
  <c r="V64" i="2"/>
  <c r="V82" i="2" s="1"/>
  <c r="U64" i="2"/>
  <c r="U82" i="2" s="1"/>
  <c r="T48" i="2"/>
  <c r="S48" i="2"/>
  <c r="T64" i="2"/>
  <c r="T82" i="2" s="1"/>
  <c r="S64" i="2"/>
  <c r="S82" i="2" s="1"/>
  <c r="U48" i="2"/>
  <c r="Q63" i="2"/>
  <c r="Q81" i="2" s="1"/>
  <c r="V46" i="2"/>
  <c r="H46" i="2"/>
  <c r="S27" i="2"/>
  <c r="T46" i="2"/>
  <c r="F63" i="2"/>
  <c r="F81" i="2" s="1"/>
  <c r="G63" i="2"/>
  <c r="G81" i="2" s="1"/>
  <c r="J27" i="2"/>
  <c r="N46" i="2"/>
  <c r="K47" i="2"/>
  <c r="D46" i="2"/>
  <c r="J63" i="2"/>
  <c r="F46" i="2"/>
  <c r="O46" i="2"/>
  <c r="J62" i="2"/>
  <c r="J80" i="2" s="1"/>
  <c r="J46" i="2"/>
  <c r="M62" i="2"/>
  <c r="M46" i="2"/>
  <c r="S62" i="2"/>
  <c r="S80" i="2" s="1"/>
  <c r="S46" i="2"/>
  <c r="R46" i="2"/>
  <c r="P62" i="2"/>
  <c r="P80" i="2" s="1"/>
  <c r="P46" i="2"/>
  <c r="Q46" i="2"/>
  <c r="L46" i="2"/>
  <c r="G46" i="2"/>
  <c r="I46" i="2"/>
  <c r="E46" i="2"/>
  <c r="V62" i="2"/>
  <c r="V80" i="2" s="1"/>
  <c r="U46" i="2"/>
  <c r="K46" i="2"/>
  <c r="C46" i="2"/>
  <c r="F27" i="2"/>
  <c r="F62" i="2"/>
  <c r="F80" i="2" s="1"/>
  <c r="F79" i="2" s="1"/>
  <c r="L62" i="2"/>
  <c r="L80" i="2" s="1"/>
  <c r="H62" i="2"/>
  <c r="H80" i="2" s="1"/>
  <c r="H27" i="2"/>
  <c r="O62" i="2"/>
  <c r="O80" i="2" s="1"/>
  <c r="R62" i="2"/>
  <c r="R80" i="2" s="1"/>
  <c r="Q62" i="2"/>
  <c r="Q80" i="2" s="1"/>
  <c r="K62" i="2"/>
  <c r="K80" i="2" s="1"/>
  <c r="U62" i="2"/>
  <c r="U80" i="2" s="1"/>
  <c r="T62" i="2"/>
  <c r="T80" i="2" s="1"/>
  <c r="N62" i="2"/>
  <c r="N80" i="2" s="1"/>
  <c r="I62" i="2"/>
  <c r="I80" i="2" s="1"/>
  <c r="G62" i="2"/>
  <c r="G80" i="2" s="1"/>
  <c r="E62" i="2"/>
  <c r="E80" i="2" s="1"/>
  <c r="E79" i="2" s="1"/>
  <c r="M27" i="2"/>
  <c r="C62" i="2"/>
  <c r="C80" i="2" s="1"/>
  <c r="C79" i="2" s="1"/>
  <c r="D62" i="2"/>
  <c r="D80" i="2" s="1"/>
  <c r="F47" i="2"/>
  <c r="M47" i="2"/>
  <c r="N63" i="2"/>
  <c r="N81" i="2" s="1"/>
  <c r="M63" i="2"/>
  <c r="M81" i="2" s="1"/>
  <c r="R27" i="2"/>
  <c r="D63" i="2"/>
  <c r="D81" i="2" s="1"/>
  <c r="N27" i="2"/>
  <c r="N47" i="2"/>
  <c r="R47" i="2"/>
  <c r="C27" i="2"/>
  <c r="C28" i="2" s="1"/>
  <c r="R63" i="2"/>
  <c r="R81" i="2" s="1"/>
  <c r="V27" i="2"/>
  <c r="S47" i="2"/>
  <c r="H47" i="2"/>
  <c r="S63" i="2"/>
  <c r="S81" i="2" s="1"/>
  <c r="V47" i="2"/>
  <c r="Q27" i="2"/>
  <c r="U47" i="2"/>
  <c r="I63" i="2"/>
  <c r="I81" i="2" s="1"/>
  <c r="I47" i="2"/>
  <c r="L47" i="2"/>
  <c r="J47" i="2"/>
  <c r="O63" i="2"/>
  <c r="O81" i="2" s="1"/>
  <c r="K63" i="2"/>
  <c r="K81" i="2" s="1"/>
  <c r="I27" i="2"/>
  <c r="P27" i="2"/>
  <c r="Q47" i="2"/>
  <c r="L27" i="2"/>
  <c r="L63" i="2"/>
  <c r="L81" i="2" s="1"/>
  <c r="H63" i="2"/>
  <c r="P47" i="2"/>
  <c r="G27" i="2"/>
  <c r="K27" i="2"/>
  <c r="G47" i="2"/>
  <c r="E27" i="2"/>
  <c r="T47" i="2"/>
  <c r="D27" i="2"/>
  <c r="D47" i="2"/>
  <c r="U27" i="2"/>
  <c r="T27" i="2"/>
  <c r="T63" i="2"/>
  <c r="T81" i="2" s="1"/>
  <c r="V63" i="2"/>
  <c r="V81" i="2" s="1"/>
  <c r="O27" i="2"/>
  <c r="P63" i="2"/>
  <c r="P81" i="2" s="1"/>
  <c r="E47" i="2"/>
  <c r="O47" i="2"/>
  <c r="E5" i="2"/>
  <c r="E8" i="2" s="1"/>
  <c r="E69" i="2" s="1"/>
  <c r="E97" i="2" s="1"/>
  <c r="C111" i="2"/>
  <c r="C110" i="2" s="1"/>
  <c r="H107" i="2"/>
  <c r="H15" i="2"/>
  <c r="I11" i="2" s="1"/>
  <c r="H14" i="2"/>
  <c r="H12" i="2" s="1"/>
  <c r="C45" i="2" l="1"/>
  <c r="Q79" i="2"/>
  <c r="H45" i="2"/>
  <c r="G79" i="2"/>
  <c r="F45" i="2"/>
  <c r="S79" i="2"/>
  <c r="J61" i="2"/>
  <c r="K45" i="2"/>
  <c r="J81" i="2"/>
  <c r="J79" i="2" s="1"/>
  <c r="S45" i="2"/>
  <c r="J45" i="2"/>
  <c r="E45" i="2"/>
  <c r="F61" i="2"/>
  <c r="D45" i="2"/>
  <c r="N45" i="2"/>
  <c r="H61" i="2"/>
  <c r="G61" i="2"/>
  <c r="N79" i="2"/>
  <c r="N61" i="2"/>
  <c r="Q45" i="2"/>
  <c r="C61" i="2"/>
  <c r="I79" i="2"/>
  <c r="U61" i="2"/>
  <c r="M45" i="2"/>
  <c r="Q61" i="2"/>
  <c r="V79" i="2"/>
  <c r="U45" i="2"/>
  <c r="L79" i="2"/>
  <c r="C26" i="2"/>
  <c r="P79" i="2"/>
  <c r="O79" i="2"/>
  <c r="E61" i="2"/>
  <c r="U79" i="2"/>
  <c r="V45" i="2"/>
  <c r="D61" i="2"/>
  <c r="M61" i="2"/>
  <c r="R79" i="2"/>
  <c r="K79" i="2"/>
  <c r="M80" i="2"/>
  <c r="M79" i="2" s="1"/>
  <c r="T79" i="2"/>
  <c r="T45" i="2"/>
  <c r="D28" i="2"/>
  <c r="D26" i="2" s="1"/>
  <c r="R45" i="2"/>
  <c r="D79" i="2"/>
  <c r="R61" i="2"/>
  <c r="L45" i="2"/>
  <c r="S61" i="2"/>
  <c r="I61" i="2"/>
  <c r="O45" i="2"/>
  <c r="G45" i="2"/>
  <c r="P45" i="2"/>
  <c r="K61" i="2"/>
  <c r="I45" i="2"/>
  <c r="O61" i="2"/>
  <c r="H81" i="2"/>
  <c r="H79" i="2" s="1"/>
  <c r="G28" i="2"/>
  <c r="G26" i="2" s="1"/>
  <c r="O28" i="2"/>
  <c r="O26" i="2" s="1"/>
  <c r="L61" i="2"/>
  <c r="F28" i="2"/>
  <c r="F26" i="2" s="1"/>
  <c r="Q28" i="2"/>
  <c r="Q26" i="2" s="1"/>
  <c r="V28" i="2"/>
  <c r="V26" i="2" s="1"/>
  <c r="K28" i="2"/>
  <c r="K26" i="2" s="1"/>
  <c r="I28" i="2"/>
  <c r="I26" i="2" s="1"/>
  <c r="T61" i="2"/>
  <c r="J28" i="2"/>
  <c r="J26" i="2" s="1"/>
  <c r="R28" i="2"/>
  <c r="R26" i="2" s="1"/>
  <c r="U28" i="2"/>
  <c r="U26" i="2" s="1"/>
  <c r="L28" i="2"/>
  <c r="L26" i="2" s="1"/>
  <c r="N28" i="2"/>
  <c r="N26" i="2" s="1"/>
  <c r="M28" i="2"/>
  <c r="M26" i="2" s="1"/>
  <c r="H28" i="2"/>
  <c r="H26" i="2" s="1"/>
  <c r="E28" i="2"/>
  <c r="E26" i="2" s="1"/>
  <c r="V61" i="2"/>
  <c r="T28" i="2"/>
  <c r="T26" i="2" s="1"/>
  <c r="S28" i="2"/>
  <c r="S26" i="2" s="1"/>
  <c r="P28" i="2"/>
  <c r="P26" i="2" s="1"/>
  <c r="P61" i="2"/>
  <c r="E35" i="2"/>
  <c r="E30" i="2" s="1"/>
  <c r="E39" i="2" s="1"/>
  <c r="E7" i="2"/>
  <c r="E9" i="2" s="1"/>
  <c r="D111" i="2" s="1"/>
  <c r="D110" i="2" s="1"/>
  <c r="I107" i="2"/>
  <c r="C29" i="2"/>
  <c r="I14" i="2"/>
  <c r="I12" i="2" s="1"/>
  <c r="I15" i="2"/>
  <c r="J11" i="2" s="1"/>
  <c r="J29" i="2" l="1"/>
  <c r="J55" i="2" s="1"/>
  <c r="O29" i="2"/>
  <c r="O54" i="2" s="1"/>
  <c r="E29" i="2"/>
  <c r="E55" i="2" s="1"/>
  <c r="L29" i="2"/>
  <c r="L54" i="2" s="1"/>
  <c r="S29" i="2"/>
  <c r="S36" i="2" s="1"/>
  <c r="S37" i="2" s="1"/>
  <c r="H29" i="2"/>
  <c r="H54" i="2" s="1"/>
  <c r="U29" i="2"/>
  <c r="U55" i="2" s="1"/>
  <c r="I29" i="2"/>
  <c r="I54" i="2" s="1"/>
  <c r="F29" i="2"/>
  <c r="F54" i="2" s="1"/>
  <c r="T29" i="2"/>
  <c r="T71" i="2" s="1"/>
  <c r="T84" i="2" s="1"/>
  <c r="M29" i="2"/>
  <c r="M54" i="2" s="1"/>
  <c r="R29" i="2"/>
  <c r="R54" i="2" s="1"/>
  <c r="K29" i="2"/>
  <c r="K54" i="2" s="1"/>
  <c r="D29" i="2"/>
  <c r="D71" i="2" s="1"/>
  <c r="D84" i="2" s="1"/>
  <c r="N29" i="2"/>
  <c r="N54" i="2" s="1"/>
  <c r="V29" i="2"/>
  <c r="V36" i="2" s="1"/>
  <c r="P29" i="2"/>
  <c r="P54" i="2" s="1"/>
  <c r="Q29" i="2"/>
  <c r="Q54" i="2" s="1"/>
  <c r="G29" i="2"/>
  <c r="G54" i="2" s="1"/>
  <c r="C55" i="2"/>
  <c r="C36" i="2"/>
  <c r="F5" i="2"/>
  <c r="F8" i="2" s="1"/>
  <c r="F35" i="2" s="1"/>
  <c r="F30" i="2" s="1"/>
  <c r="F39" i="2" s="1"/>
  <c r="E68" i="2"/>
  <c r="E96" i="2" s="1"/>
  <c r="E95" i="2" s="1"/>
  <c r="E91" i="2" s="1"/>
  <c r="J107" i="2"/>
  <c r="C71" i="2"/>
  <c r="C54" i="2"/>
  <c r="J15" i="2"/>
  <c r="K11" i="2" s="1"/>
  <c r="J14" i="2"/>
  <c r="J12" i="2" s="1"/>
  <c r="V40" i="2" l="1"/>
  <c r="L46" i="48"/>
  <c r="C37" i="2"/>
  <c r="C72" i="2" s="1"/>
  <c r="C86" i="2" s="1"/>
  <c r="D46" i="48"/>
  <c r="C50" i="2"/>
  <c r="C56" i="2" s="1"/>
  <c r="O71" i="2"/>
  <c r="O84" i="2" s="1"/>
  <c r="S40" i="2"/>
  <c r="S41" i="2" s="1"/>
  <c r="S71" i="2"/>
  <c r="S84" i="2" s="1"/>
  <c r="O55" i="2"/>
  <c r="O50" i="2" s="1"/>
  <c r="O56" i="2" s="1"/>
  <c r="J54" i="2"/>
  <c r="J50" i="2" s="1"/>
  <c r="J56" i="2" s="1"/>
  <c r="L71" i="2"/>
  <c r="L84" i="2" s="1"/>
  <c r="J71" i="2"/>
  <c r="J84" i="2" s="1"/>
  <c r="V37" i="2"/>
  <c r="V72" i="2" s="1"/>
  <c r="N71" i="2"/>
  <c r="N84" i="2" s="1"/>
  <c r="V54" i="2"/>
  <c r="E71" i="2"/>
  <c r="E84" i="2" s="1"/>
  <c r="P71" i="2"/>
  <c r="P84" i="2" s="1"/>
  <c r="I71" i="2"/>
  <c r="I84" i="2" s="1"/>
  <c r="T36" i="2"/>
  <c r="T40" i="2" s="1"/>
  <c r="I55" i="2"/>
  <c r="I50" i="2" s="1"/>
  <c r="I56" i="2" s="1"/>
  <c r="Q71" i="2"/>
  <c r="Q84" i="2" s="1"/>
  <c r="U36" i="2"/>
  <c r="U37" i="2" s="1"/>
  <c r="U72" i="2" s="1"/>
  <c r="Q55" i="2"/>
  <c r="Q50" i="2" s="1"/>
  <c r="Q56" i="2" s="1"/>
  <c r="F71" i="2"/>
  <c r="F84" i="2" s="1"/>
  <c r="U54" i="2"/>
  <c r="U50" i="2" s="1"/>
  <c r="U56" i="2" s="1"/>
  <c r="U71" i="2"/>
  <c r="U84" i="2" s="1"/>
  <c r="H71" i="2"/>
  <c r="H84" i="2" s="1"/>
  <c r="T55" i="2"/>
  <c r="V55" i="2"/>
  <c r="E54" i="2"/>
  <c r="E50" i="2" s="1"/>
  <c r="E56" i="2" s="1"/>
  <c r="E36" i="2"/>
  <c r="E40" i="2" s="1"/>
  <c r="S54" i="2"/>
  <c r="D54" i="2"/>
  <c r="M71" i="2"/>
  <c r="M84" i="2" s="1"/>
  <c r="G71" i="2"/>
  <c r="G84" i="2" s="1"/>
  <c r="K71" i="2"/>
  <c r="K84" i="2" s="1"/>
  <c r="R55" i="2"/>
  <c r="R50" i="2" s="1"/>
  <c r="R56" i="2" s="1"/>
  <c r="L55" i="2"/>
  <c r="L50" i="2" s="1"/>
  <c r="L56" i="2" s="1"/>
  <c r="D36" i="2"/>
  <c r="D37" i="2" s="1"/>
  <c r="D72" i="2" s="1"/>
  <c r="D55" i="2"/>
  <c r="H55" i="2"/>
  <c r="H50" i="2" s="1"/>
  <c r="H56" i="2" s="1"/>
  <c r="R71" i="2"/>
  <c r="R84" i="2" s="1"/>
  <c r="G55" i="2"/>
  <c r="G50" i="2" s="1"/>
  <c r="G56" i="2" s="1"/>
  <c r="P55" i="2"/>
  <c r="P50" i="2" s="1"/>
  <c r="P56" i="2" s="1"/>
  <c r="N55" i="2"/>
  <c r="N50" i="2" s="1"/>
  <c r="N56" i="2" s="1"/>
  <c r="K55" i="2"/>
  <c r="K50" i="2" s="1"/>
  <c r="K56" i="2" s="1"/>
  <c r="M55" i="2"/>
  <c r="M50" i="2" s="1"/>
  <c r="M56" i="2" s="1"/>
  <c r="F55" i="2"/>
  <c r="F50" i="2" s="1"/>
  <c r="F56" i="2" s="1"/>
  <c r="S55" i="2"/>
  <c r="T54" i="2"/>
  <c r="V71" i="2"/>
  <c r="V84" i="2" s="1"/>
  <c r="F36" i="2"/>
  <c r="F40" i="2" s="1"/>
  <c r="C40" i="2"/>
  <c r="F7" i="2"/>
  <c r="F9" i="2" s="1"/>
  <c r="G5" i="2" s="1"/>
  <c r="G8" i="2" s="1"/>
  <c r="G69" i="2" s="1"/>
  <c r="G97" i="2" s="1"/>
  <c r="F69" i="2"/>
  <c r="F97" i="2" s="1"/>
  <c r="K107" i="2"/>
  <c r="C84" i="2"/>
  <c r="S38" i="2"/>
  <c r="S72" i="2"/>
  <c r="K15" i="2"/>
  <c r="L11" i="2" s="1"/>
  <c r="K14" i="2"/>
  <c r="K12" i="2" s="1"/>
  <c r="C38" i="2" l="1"/>
  <c r="C41" i="2"/>
  <c r="V38" i="2"/>
  <c r="L47" i="48" s="1"/>
  <c r="V50" i="2"/>
  <c r="V56" i="2" s="1"/>
  <c r="V41" i="2"/>
  <c r="D50" i="2"/>
  <c r="D56" i="2" s="1"/>
  <c r="U38" i="2"/>
  <c r="T50" i="2"/>
  <c r="T56" i="2" s="1"/>
  <c r="T37" i="2"/>
  <c r="T38" i="2" s="1"/>
  <c r="U40" i="2"/>
  <c r="U41" i="2" s="1"/>
  <c r="E37" i="2"/>
  <c r="E41" i="2" s="1"/>
  <c r="D40" i="2"/>
  <c r="D41" i="2" s="1"/>
  <c r="S50" i="2"/>
  <c r="S56" i="2" s="1"/>
  <c r="D38" i="2"/>
  <c r="F37" i="2"/>
  <c r="F38" i="2" s="1"/>
  <c r="C83" i="2"/>
  <c r="C78" i="2" s="1"/>
  <c r="C99" i="2" s="1"/>
  <c r="C100" i="2" s="1"/>
  <c r="C66" i="2"/>
  <c r="C73" i="2" s="1"/>
  <c r="E111" i="2"/>
  <c r="E110" i="2" s="1"/>
  <c r="G35" i="2"/>
  <c r="G7" i="2"/>
  <c r="G68" i="2" s="1"/>
  <c r="G96" i="2" s="1"/>
  <c r="G95" i="2" s="1"/>
  <c r="G91" i="2" s="1"/>
  <c r="F68" i="2"/>
  <c r="F96" i="2" s="1"/>
  <c r="F95" i="2" s="1"/>
  <c r="F91" i="2" s="1"/>
  <c r="L107" i="2"/>
  <c r="U66" i="2"/>
  <c r="U73" i="2" s="1"/>
  <c r="U86" i="2"/>
  <c r="U83" i="2" s="1"/>
  <c r="U78" i="2" s="1"/>
  <c r="U99" i="2" s="1"/>
  <c r="D66" i="2"/>
  <c r="D73" i="2" s="1"/>
  <c r="D86" i="2"/>
  <c r="D83" i="2" s="1"/>
  <c r="D78" i="2" s="1"/>
  <c r="D99" i="2" s="1"/>
  <c r="V66" i="2"/>
  <c r="V73" i="2" s="1"/>
  <c r="V86" i="2"/>
  <c r="V83" i="2" s="1"/>
  <c r="V78" i="2" s="1"/>
  <c r="V99" i="2" s="1"/>
  <c r="S66" i="2"/>
  <c r="S73" i="2" s="1"/>
  <c r="S86" i="2"/>
  <c r="S83" i="2" s="1"/>
  <c r="S78" i="2" s="1"/>
  <c r="S99" i="2" s="1"/>
  <c r="L14" i="2"/>
  <c r="L12" i="2" s="1"/>
  <c r="L15" i="2"/>
  <c r="M11" i="2" s="1"/>
  <c r="C115" i="2" l="1"/>
  <c r="C112" i="2" s="1"/>
  <c r="C109" i="2" s="1"/>
  <c r="C105" i="2" s="1"/>
  <c r="C104" i="2" s="1"/>
  <c r="D47" i="48"/>
  <c r="G30" i="2"/>
  <c r="G36" i="2" s="1"/>
  <c r="F44" i="48"/>
  <c r="C74" i="2"/>
  <c r="D74" i="2" s="1"/>
  <c r="T41" i="2"/>
  <c r="C6" i="4"/>
  <c r="E38" i="2"/>
  <c r="T72" i="2"/>
  <c r="T66" i="2" s="1"/>
  <c r="T73" i="2" s="1"/>
  <c r="E72" i="2"/>
  <c r="E66" i="2" s="1"/>
  <c r="E73" i="2" s="1"/>
  <c r="F72" i="2"/>
  <c r="F66" i="2" s="1"/>
  <c r="F73" i="2" s="1"/>
  <c r="F41" i="2"/>
  <c r="D100" i="2"/>
  <c r="G9" i="2"/>
  <c r="H5" i="2" s="1"/>
  <c r="H8" i="2" s="1"/>
  <c r="H69" i="2" s="1"/>
  <c r="H97" i="2" s="1"/>
  <c r="M107" i="2"/>
  <c r="M14" i="2"/>
  <c r="M12" i="2" s="1"/>
  <c r="M15" i="2"/>
  <c r="N11" i="2" s="1"/>
  <c r="D115" i="2" l="1"/>
  <c r="D112" i="2" s="1"/>
  <c r="D116" i="2" s="1"/>
  <c r="C116" i="2"/>
  <c r="G37" i="2"/>
  <c r="G72" i="2" s="1"/>
  <c r="G86" i="2" s="1"/>
  <c r="G83" i="2" s="1"/>
  <c r="G78" i="2" s="1"/>
  <c r="G99" i="2" s="1"/>
  <c r="F46" i="48"/>
  <c r="G39" i="2"/>
  <c r="C12" i="4" s="1"/>
  <c r="F45" i="48"/>
  <c r="T86" i="2"/>
  <c r="T83" i="2" s="1"/>
  <c r="T78" i="2" s="1"/>
  <c r="T99" i="2" s="1"/>
  <c r="E86" i="2"/>
  <c r="E83" i="2" s="1"/>
  <c r="E78" i="2" s="1"/>
  <c r="E99" i="2" s="1"/>
  <c r="E100" i="2" s="1"/>
  <c r="E74" i="2"/>
  <c r="F74" i="2" s="1"/>
  <c r="F86" i="2"/>
  <c r="F83" i="2" s="1"/>
  <c r="F78" i="2" s="1"/>
  <c r="F99" i="2" s="1"/>
  <c r="G40" i="2"/>
  <c r="H35" i="2"/>
  <c r="H30" i="2" s="1"/>
  <c r="H39" i="2" s="1"/>
  <c r="H7" i="2"/>
  <c r="H68" i="2" s="1"/>
  <c r="H96" i="2" s="1"/>
  <c r="H95" i="2" s="1"/>
  <c r="H91" i="2" s="1"/>
  <c r="F111" i="2"/>
  <c r="F110" i="2" s="1"/>
  <c r="N107" i="2"/>
  <c r="N14" i="2"/>
  <c r="N12" i="2" s="1"/>
  <c r="N15" i="2"/>
  <c r="O11" i="2" s="1"/>
  <c r="G41" i="2" l="1"/>
  <c r="D109" i="2"/>
  <c r="D105" i="2" s="1"/>
  <c r="D104" i="2" s="1"/>
  <c r="E115" i="2"/>
  <c r="F115" i="2" s="1"/>
  <c r="F112" i="2" s="1"/>
  <c r="G66" i="2"/>
  <c r="G73" i="2" s="1"/>
  <c r="G74" i="2" s="1"/>
  <c r="G38" i="2"/>
  <c r="F47" i="48" s="1"/>
  <c r="H9" i="2"/>
  <c r="G111" i="2" s="1"/>
  <c r="G110" i="2" s="1"/>
  <c r="F100" i="2"/>
  <c r="G100" i="2" s="1"/>
  <c r="H36" i="2"/>
  <c r="H40" i="2" s="1"/>
  <c r="O107" i="2"/>
  <c r="O14" i="2"/>
  <c r="O12" i="2" s="1"/>
  <c r="O15" i="2"/>
  <c r="P11" i="2" s="1"/>
  <c r="G115" i="2" l="1"/>
  <c r="G112" i="2" s="1"/>
  <c r="G109" i="2" s="1"/>
  <c r="G105" i="2" s="1"/>
  <c r="E112" i="2"/>
  <c r="F116" i="2" s="1"/>
  <c r="I5" i="2"/>
  <c r="I8" i="2" s="1"/>
  <c r="I69" i="2" s="1"/>
  <c r="I97" i="2" s="1"/>
  <c r="H37" i="2"/>
  <c r="H38" i="2" s="1"/>
  <c r="F109" i="2"/>
  <c r="F105" i="2" s="1"/>
  <c r="P107" i="2"/>
  <c r="P14" i="2"/>
  <c r="P12" i="2" s="1"/>
  <c r="P15" i="2"/>
  <c r="Q11" i="2" s="1"/>
  <c r="H115" i="2" l="1"/>
  <c r="H112" i="2" s="1"/>
  <c r="H116" i="2" s="1"/>
  <c r="E116" i="2"/>
  <c r="E109" i="2"/>
  <c r="E105" i="2" s="1"/>
  <c r="E104" i="2" s="1"/>
  <c r="I35" i="2"/>
  <c r="I30" i="2" s="1"/>
  <c r="H41" i="2"/>
  <c r="I7" i="2"/>
  <c r="I9" i="2" s="1"/>
  <c r="J5" i="2" s="1"/>
  <c r="J8" i="2" s="1"/>
  <c r="J69" i="2" s="1"/>
  <c r="J97" i="2" s="1"/>
  <c r="H72" i="2"/>
  <c r="H66" i="2" s="1"/>
  <c r="H73" i="2" s="1"/>
  <c r="F104" i="2"/>
  <c r="G104" i="2"/>
  <c r="G116" i="2"/>
  <c r="Q107" i="2"/>
  <c r="Q14" i="2"/>
  <c r="Q12" i="2" s="1"/>
  <c r="Q15" i="2"/>
  <c r="R11" i="2" s="1"/>
  <c r="H74" i="2" l="1"/>
  <c r="I36" i="2"/>
  <c r="I40" i="2" s="1"/>
  <c r="I39" i="2"/>
  <c r="H111" i="2"/>
  <c r="H110" i="2" s="1"/>
  <c r="H109" i="2" s="1"/>
  <c r="J35" i="2"/>
  <c r="J30" i="2" s="1"/>
  <c r="J7" i="2"/>
  <c r="J68" i="2" s="1"/>
  <c r="J96" i="2" s="1"/>
  <c r="J95" i="2" s="1"/>
  <c r="J91" i="2" s="1"/>
  <c r="I68" i="2"/>
  <c r="I96" i="2" s="1"/>
  <c r="I95" i="2" s="1"/>
  <c r="I91" i="2" s="1"/>
  <c r="H86" i="2"/>
  <c r="H83" i="2" s="1"/>
  <c r="H78" i="2" s="1"/>
  <c r="H99" i="2" s="1"/>
  <c r="H100" i="2" s="1"/>
  <c r="R107" i="2"/>
  <c r="R14" i="2"/>
  <c r="R12" i="2" s="1"/>
  <c r="R15" i="2"/>
  <c r="I37" i="2" l="1"/>
  <c r="I72" i="2" s="1"/>
  <c r="I86" i="2" s="1"/>
  <c r="I83" i="2" s="1"/>
  <c r="I78" i="2" s="1"/>
  <c r="I99" i="2" s="1"/>
  <c r="I100" i="2" s="1"/>
  <c r="J36" i="2"/>
  <c r="J40" i="2" s="1"/>
  <c r="J39" i="2"/>
  <c r="J9" i="2"/>
  <c r="K5" i="2" s="1"/>
  <c r="K8" i="2" s="1"/>
  <c r="K35" i="2" s="1"/>
  <c r="K30" i="2" s="1"/>
  <c r="H105" i="2"/>
  <c r="S107" i="2"/>
  <c r="I38" i="2" l="1"/>
  <c r="I115" i="2" s="1"/>
  <c r="I112" i="2" s="1"/>
  <c r="I116" i="2" s="1"/>
  <c r="J37" i="2"/>
  <c r="J72" i="2" s="1"/>
  <c r="J86" i="2" s="1"/>
  <c r="J83" i="2" s="1"/>
  <c r="J78" i="2" s="1"/>
  <c r="J99" i="2" s="1"/>
  <c r="J100" i="2" s="1"/>
  <c r="K36" i="2"/>
  <c r="K40" i="2" s="1"/>
  <c r="K39" i="2"/>
  <c r="I41" i="2"/>
  <c r="I66" i="2"/>
  <c r="I73" i="2" s="1"/>
  <c r="K7" i="2"/>
  <c r="K9" i="2" s="1"/>
  <c r="L5" i="2" s="1"/>
  <c r="L8" i="2" s="1"/>
  <c r="L7" i="2" s="1"/>
  <c r="I111" i="2"/>
  <c r="I110" i="2" s="1"/>
  <c r="K69" i="2"/>
  <c r="K97" i="2" s="1"/>
  <c r="H104" i="2"/>
  <c r="T107" i="2"/>
  <c r="I74" i="2" l="1"/>
  <c r="I109" i="2"/>
  <c r="I105" i="2" s="1"/>
  <c r="J66" i="2"/>
  <c r="J73" i="2" s="1"/>
  <c r="J41" i="2"/>
  <c r="J38" i="2"/>
  <c r="J115" i="2" s="1"/>
  <c r="J112" i="2" s="1"/>
  <c r="J116" i="2" s="1"/>
  <c r="K37" i="2"/>
  <c r="K72" i="2" s="1"/>
  <c r="K86" i="2" s="1"/>
  <c r="K83" i="2" s="1"/>
  <c r="K78" i="2" s="1"/>
  <c r="K68" i="2"/>
  <c r="K96" i="2" s="1"/>
  <c r="K95" i="2" s="1"/>
  <c r="K91" i="2" s="1"/>
  <c r="J111" i="2"/>
  <c r="J110" i="2" s="1"/>
  <c r="L69" i="2"/>
  <c r="L97" i="2" s="1"/>
  <c r="L35" i="2"/>
  <c r="U107" i="2"/>
  <c r="L9" i="2"/>
  <c r="L68" i="2"/>
  <c r="L96" i="2" s="1"/>
  <c r="L30" i="2" l="1"/>
  <c r="L36" i="2" s="1"/>
  <c r="H44" i="48"/>
  <c r="J74" i="2"/>
  <c r="J109" i="2"/>
  <c r="J105" i="2" s="1"/>
  <c r="J104" i="2" s="1"/>
  <c r="K99" i="2"/>
  <c r="K100" i="2" s="1"/>
  <c r="K41" i="2"/>
  <c r="K38" i="2"/>
  <c r="K115" i="2" s="1"/>
  <c r="K112" i="2" s="1"/>
  <c r="K116" i="2" s="1"/>
  <c r="K66" i="2"/>
  <c r="K73" i="2" s="1"/>
  <c r="I104" i="2"/>
  <c r="L95" i="2"/>
  <c r="L91" i="2" s="1"/>
  <c r="M5" i="2"/>
  <c r="M8" i="2" s="1"/>
  <c r="M7" i="2" s="1"/>
  <c r="K111" i="2"/>
  <c r="V107" i="2"/>
  <c r="L37" i="2" l="1"/>
  <c r="L72" i="2" s="1"/>
  <c r="L86" i="2" s="1"/>
  <c r="L83" i="2" s="1"/>
  <c r="L78" i="2" s="1"/>
  <c r="L99" i="2" s="1"/>
  <c r="L100" i="2" s="1"/>
  <c r="H46" i="48"/>
  <c r="L39" i="2"/>
  <c r="H45" i="48"/>
  <c r="K74" i="2"/>
  <c r="L40" i="2"/>
  <c r="K110" i="2"/>
  <c r="K109" i="2" s="1"/>
  <c r="M69" i="2"/>
  <c r="M97" i="2" s="1"/>
  <c r="M35" i="2"/>
  <c r="M30" i="2" s="1"/>
  <c r="M39" i="2" s="1"/>
  <c r="M9" i="2"/>
  <c r="M68" i="2"/>
  <c r="M96" i="2" s="1"/>
  <c r="L66" i="2" l="1"/>
  <c r="L73" i="2" s="1"/>
  <c r="L74" i="2" s="1"/>
  <c r="C10" i="4" s="1"/>
  <c r="L38" i="2"/>
  <c r="L41" i="2"/>
  <c r="M36" i="2"/>
  <c r="M40" i="2" s="1"/>
  <c r="K105" i="2"/>
  <c r="M95" i="2"/>
  <c r="M91" i="2" s="1"/>
  <c r="N5" i="2"/>
  <c r="N8" i="2" s="1"/>
  <c r="N69" i="2" s="1"/>
  <c r="N97" i="2" s="1"/>
  <c r="L111" i="2"/>
  <c r="L115" i="2" l="1"/>
  <c r="L112" i="2" s="1"/>
  <c r="L116" i="2" s="1"/>
  <c r="H47" i="48"/>
  <c r="M37" i="2"/>
  <c r="M38" i="2" s="1"/>
  <c r="K104" i="2"/>
  <c r="L110" i="2"/>
  <c r="N7" i="2"/>
  <c r="N9" i="2" s="1"/>
  <c r="N35" i="2"/>
  <c r="N30" i="2" s="1"/>
  <c r="N39" i="2" s="1"/>
  <c r="L109" i="2" l="1"/>
  <c r="L105" i="2" s="1"/>
  <c r="M72" i="2"/>
  <c r="M66" i="2" s="1"/>
  <c r="M73" i="2" s="1"/>
  <c r="M74" i="2" s="1"/>
  <c r="M41" i="2"/>
  <c r="N36" i="2"/>
  <c r="N37" i="2" s="1"/>
  <c r="N72" i="2" s="1"/>
  <c r="N86" i="2" s="1"/>
  <c r="N83" i="2" s="1"/>
  <c r="N78" i="2" s="1"/>
  <c r="M115" i="2"/>
  <c r="M112" i="2" s="1"/>
  <c r="M116" i="2" s="1"/>
  <c r="N68" i="2"/>
  <c r="N96" i="2" s="1"/>
  <c r="N95" i="2" s="1"/>
  <c r="N91" i="2" s="1"/>
  <c r="O5" i="2"/>
  <c r="O8" i="2" s="1"/>
  <c r="M111" i="2"/>
  <c r="M110" i="2" s="1"/>
  <c r="N40" i="2" l="1"/>
  <c r="N41" i="2" s="1"/>
  <c r="M86" i="2"/>
  <c r="M83" i="2" s="1"/>
  <c r="M78" i="2" s="1"/>
  <c r="M99" i="2" s="1"/>
  <c r="M100" i="2" s="1"/>
  <c r="N38" i="2"/>
  <c r="N115" i="2" s="1"/>
  <c r="N112" i="2" s="1"/>
  <c r="N116" i="2" s="1"/>
  <c r="N99" i="2"/>
  <c r="L104" i="2"/>
  <c r="M109" i="2"/>
  <c r="N66" i="2"/>
  <c r="N73" i="2" s="1"/>
  <c r="N74" i="2" s="1"/>
  <c r="O7" i="2"/>
  <c r="O69" i="2"/>
  <c r="O97" i="2" s="1"/>
  <c r="O35" i="2"/>
  <c r="O30" i="2" s="1"/>
  <c r="O36" i="2" l="1"/>
  <c r="O37" i="2" s="1"/>
  <c r="O38" i="2" s="1"/>
  <c r="O39" i="2"/>
  <c r="N100" i="2"/>
  <c r="M105" i="2"/>
  <c r="O68" i="2"/>
  <c r="O96" i="2" s="1"/>
  <c r="O95" i="2" s="1"/>
  <c r="O91" i="2" s="1"/>
  <c r="O9" i="2"/>
  <c r="O40" i="2" l="1"/>
  <c r="O41" i="2" s="1"/>
  <c r="M104" i="2"/>
  <c r="O115" i="2"/>
  <c r="O112" i="2" s="1"/>
  <c r="O116" i="2" s="1"/>
  <c r="P5" i="2"/>
  <c r="P8" i="2" s="1"/>
  <c r="P69" i="2" s="1"/>
  <c r="P97" i="2" s="1"/>
  <c r="N111" i="2"/>
  <c r="O72" i="2"/>
  <c r="N110" i="2" l="1"/>
  <c r="N109" i="2" s="1"/>
  <c r="P7" i="2"/>
  <c r="P68" i="2" s="1"/>
  <c r="P96" i="2" s="1"/>
  <c r="P95" i="2" s="1"/>
  <c r="P91" i="2" s="1"/>
  <c r="P35" i="2"/>
  <c r="P30" i="2" s="1"/>
  <c r="P39" i="2" s="1"/>
  <c r="O66" i="2"/>
  <c r="O73" i="2" s="1"/>
  <c r="O74" i="2" s="1"/>
  <c r="O86" i="2"/>
  <c r="O83" i="2" s="1"/>
  <c r="O78" i="2" s="1"/>
  <c r="O99" i="2" s="1"/>
  <c r="O100" i="2" s="1"/>
  <c r="P36" i="2" l="1"/>
  <c r="P40" i="2" s="1"/>
  <c r="N105" i="2"/>
  <c r="P9" i="2"/>
  <c r="Q5" i="2" s="1"/>
  <c r="Q8" i="2" s="1"/>
  <c r="P37" i="2" l="1"/>
  <c r="P38" i="2" s="1"/>
  <c r="P115" i="2" s="1"/>
  <c r="P112" i="2" s="1"/>
  <c r="P116" i="2" s="1"/>
  <c r="N104" i="2"/>
  <c r="O111" i="2"/>
  <c r="Q7" i="2"/>
  <c r="Q35" i="2"/>
  <c r="Q69" i="2"/>
  <c r="Q97" i="2" s="1"/>
  <c r="Q30" i="2" l="1"/>
  <c r="J44" i="48"/>
  <c r="P72" i="2"/>
  <c r="P66" i="2" s="1"/>
  <c r="P73" i="2" s="1"/>
  <c r="P74" i="2" s="1"/>
  <c r="P41" i="2"/>
  <c r="O110" i="2"/>
  <c r="O109" i="2" s="1"/>
  <c r="Q68" i="2"/>
  <c r="Q96" i="2" s="1"/>
  <c r="Q95" i="2" s="1"/>
  <c r="Q91" i="2" s="1"/>
  <c r="Q9" i="2"/>
  <c r="Q36" i="2" l="1"/>
  <c r="J45" i="48"/>
  <c r="Q39" i="2"/>
  <c r="P86" i="2"/>
  <c r="P83" i="2" s="1"/>
  <c r="P78" i="2" s="1"/>
  <c r="P99" i="2" s="1"/>
  <c r="P100" i="2" s="1"/>
  <c r="O105" i="2"/>
  <c r="R5" i="2"/>
  <c r="R8" i="2" s="1"/>
  <c r="R69" i="2" s="1"/>
  <c r="R97" i="2" s="1"/>
  <c r="P111" i="2"/>
  <c r="Q40" i="2" l="1"/>
  <c r="J46" i="48"/>
  <c r="Q37" i="2"/>
  <c r="Q72" i="2" s="1"/>
  <c r="Q86" i="2" s="1"/>
  <c r="Q83" i="2" s="1"/>
  <c r="Q78" i="2" s="1"/>
  <c r="Q99" i="2" s="1"/>
  <c r="Q100" i="2" s="1"/>
  <c r="O104" i="2"/>
  <c r="P110" i="2"/>
  <c r="P109" i="2" s="1"/>
  <c r="R35" i="2"/>
  <c r="R30" i="2" s="1"/>
  <c r="R39" i="2" s="1"/>
  <c r="R7" i="2"/>
  <c r="R9" i="2" s="1"/>
  <c r="Q111" i="2" s="1"/>
  <c r="Q110" i="2" s="1"/>
  <c r="Q66" i="2" l="1"/>
  <c r="Q73" i="2" s="1"/>
  <c r="Q74" i="2" s="1"/>
  <c r="Q38" i="2"/>
  <c r="Q41" i="2"/>
  <c r="R36" i="2"/>
  <c r="R40" i="2" s="1"/>
  <c r="P105" i="2"/>
  <c r="R68" i="2"/>
  <c r="R96" i="2" s="1"/>
  <c r="R95" i="2" s="1"/>
  <c r="R91" i="2" s="1"/>
  <c r="Q115" i="2" l="1"/>
  <c r="Q112" i="2" s="1"/>
  <c r="Q116" i="2" s="1"/>
  <c r="J47" i="48"/>
  <c r="R37" i="2"/>
  <c r="R41" i="2" s="1"/>
  <c r="P104" i="2"/>
  <c r="Q109" i="2" l="1"/>
  <c r="Q105" i="2" s="1"/>
  <c r="Q104" i="2" s="1"/>
  <c r="R72" i="2"/>
  <c r="R66" i="2" s="1"/>
  <c r="R73" i="2" s="1"/>
  <c r="B12" i="4" s="1"/>
  <c r="R38" i="2"/>
  <c r="R115" i="2" s="1"/>
  <c r="S115" i="2" s="1"/>
  <c r="L14" i="4" l="1"/>
  <c r="R86" i="2"/>
  <c r="R83" i="2" s="1"/>
  <c r="R78" i="2" s="1"/>
  <c r="R99" i="2" s="1"/>
  <c r="R100" i="2" s="1"/>
  <c r="S100" i="2" s="1"/>
  <c r="L5" i="4"/>
  <c r="L12" i="4"/>
  <c r="C8" i="4"/>
  <c r="L10" i="4"/>
  <c r="R74" i="2"/>
  <c r="S74" i="2" s="1"/>
  <c r="T74" i="2" s="1"/>
  <c r="U74" i="2" s="1"/>
  <c r="V74" i="2" s="1"/>
  <c r="L7" i="4"/>
  <c r="R112" i="2"/>
  <c r="T115" i="2"/>
  <c r="S112" i="2"/>
  <c r="S109" i="2" l="1"/>
  <c r="S105" i="2" s="1"/>
  <c r="R109" i="2"/>
  <c r="R105" i="2" s="1"/>
  <c r="S116" i="2"/>
  <c r="R116" i="2"/>
  <c r="T100" i="2"/>
  <c r="U115" i="2"/>
  <c r="T112" i="2"/>
  <c r="T116" i="2" s="1"/>
  <c r="R104" i="2" l="1"/>
  <c r="S104" i="2"/>
  <c r="T109" i="2"/>
  <c r="T105" i="2" s="1"/>
  <c r="U100" i="2"/>
  <c r="V115" i="2"/>
  <c r="V112" i="2" s="1"/>
  <c r="V109" i="2" s="1"/>
  <c r="V105" i="2" s="1"/>
  <c r="U112" i="2"/>
  <c r="T104" i="2" l="1"/>
  <c r="V104" i="2"/>
  <c r="U109" i="2"/>
  <c r="U105" i="2" s="1"/>
  <c r="V116" i="2"/>
  <c r="U116" i="2"/>
  <c r="V100" i="2"/>
  <c r="U104" i="2" l="1"/>
</calcChain>
</file>

<file path=xl/comments1.xml><?xml version="1.0" encoding="utf-8"?>
<comments xmlns="http://schemas.openxmlformats.org/spreadsheetml/2006/main">
  <authors>
    <author>梁茂青（新能源）</author>
  </authors>
  <commentList>
    <comment ref="J18" authorId="0">
      <text>
        <r>
          <rPr>
            <b/>
            <sz val="12"/>
            <color indexed="81"/>
            <rFont val="宋体"/>
            <family val="3"/>
            <charset val="134"/>
          </rPr>
          <t>计入此处的项目有：
1、前期支撑文件费用；
2、前期销售管理费用；
3、前期人员薪酬福利；
4、项目奖励，按股权容量。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12"/>
            <color indexed="81"/>
            <rFont val="宋体"/>
            <family val="3"/>
            <charset val="134"/>
          </rPr>
          <t xml:space="preserve">计入此处的项目有：
</t>
        </r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2"/>
            <color indexed="81"/>
            <rFont val="宋体"/>
            <family val="3"/>
            <charset val="134"/>
          </rPr>
          <t xml:space="preserve">、土地购置；
</t>
        </r>
        <r>
          <rPr>
            <b/>
            <sz val="12"/>
            <color indexed="81"/>
            <rFont val="Tahoma"/>
            <family val="2"/>
          </rPr>
          <t>2</t>
        </r>
        <r>
          <rPr>
            <b/>
            <sz val="12"/>
            <color indexed="81"/>
            <rFont val="宋体"/>
            <family val="3"/>
            <charset val="134"/>
          </rPr>
          <t xml:space="preserve">、土地补偿；
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宋体"/>
            <family val="3"/>
            <charset val="134"/>
          </rPr>
          <t xml:space="preserve">、进场共摊；
</t>
        </r>
        <r>
          <rPr>
            <b/>
            <sz val="12"/>
            <color indexed="81"/>
            <rFont val="Tahoma"/>
            <family val="2"/>
          </rPr>
          <t>4</t>
        </r>
        <r>
          <rPr>
            <b/>
            <sz val="12"/>
            <color indexed="81"/>
            <rFont val="宋体"/>
            <family val="3"/>
            <charset val="134"/>
          </rPr>
          <t>、一次性支付运营期土地租金。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" authorId="0">
      <text>
        <r>
          <rPr>
            <b/>
            <sz val="12"/>
            <color indexed="81"/>
            <rFont val="宋体"/>
            <family val="3"/>
            <charset val="134"/>
          </rPr>
          <t xml:space="preserve">计入此处的项目有：
</t>
        </r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2"/>
            <color indexed="81"/>
            <rFont val="宋体"/>
            <family val="3"/>
            <charset val="134"/>
          </rPr>
          <t xml:space="preserve">、土地购置；
</t>
        </r>
        <r>
          <rPr>
            <b/>
            <sz val="12"/>
            <color indexed="81"/>
            <rFont val="Tahoma"/>
            <family val="2"/>
          </rPr>
          <t>2</t>
        </r>
        <r>
          <rPr>
            <b/>
            <sz val="12"/>
            <color indexed="81"/>
            <rFont val="宋体"/>
            <family val="3"/>
            <charset val="134"/>
          </rPr>
          <t xml:space="preserve">、土地补偿；
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宋体"/>
            <family val="3"/>
            <charset val="134"/>
          </rPr>
          <t xml:space="preserve">、进场共摊；
</t>
        </r>
        <r>
          <rPr>
            <b/>
            <sz val="12"/>
            <color indexed="81"/>
            <rFont val="Tahoma"/>
            <family val="2"/>
          </rPr>
          <t>4</t>
        </r>
        <r>
          <rPr>
            <b/>
            <sz val="12"/>
            <color indexed="81"/>
            <rFont val="宋体"/>
            <family val="3"/>
            <charset val="134"/>
          </rPr>
          <t>、一次性支付运营期土地租金。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宋体"/>
            <family val="3"/>
            <charset val="134"/>
          </rPr>
          <t>一般按</t>
        </r>
        <r>
          <rPr>
            <b/>
            <sz val="12"/>
            <color indexed="81"/>
            <rFont val="Tahoma"/>
            <family val="2"/>
          </rPr>
          <t>2</t>
        </r>
        <r>
          <rPr>
            <b/>
            <sz val="12"/>
            <color indexed="81"/>
            <rFont val="宋体"/>
            <family val="3"/>
            <charset val="134"/>
          </rPr>
          <t>免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宋体"/>
            <family val="3"/>
            <charset val="134"/>
          </rPr>
          <t>减半，</t>
        </r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2"/>
            <color indexed="81"/>
            <rFont val="宋体"/>
            <family val="3"/>
            <charset val="134"/>
          </rPr>
          <t>季度发电的可估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宋体"/>
            <family val="3"/>
            <charset val="134"/>
          </rPr>
          <t>免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宋体"/>
            <family val="3"/>
            <charset val="134"/>
          </rPr>
          <t>减半</t>
        </r>
      </text>
    </comment>
    <comment ref="J36" authorId="0">
      <text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2"/>
            <color indexed="81"/>
            <rFont val="宋体"/>
            <family val="3"/>
            <charset val="134"/>
          </rPr>
          <t>、</t>
        </r>
        <r>
          <rPr>
            <b/>
            <sz val="12"/>
            <color indexed="81"/>
            <rFont val="Tahoma"/>
            <family val="2"/>
          </rPr>
          <t>5000</t>
        </r>
        <r>
          <rPr>
            <b/>
            <sz val="12"/>
            <color indexed="81"/>
            <rFont val="宋体"/>
            <family val="3"/>
            <charset val="134"/>
          </rPr>
          <t>万垫资</t>
        </r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2"/>
            <color indexed="81"/>
            <rFont val="宋体"/>
            <family val="3"/>
            <charset val="134"/>
          </rPr>
          <t>个月约</t>
        </r>
        <r>
          <rPr>
            <b/>
            <sz val="12"/>
            <color indexed="81"/>
            <rFont val="Tahoma"/>
            <family val="2"/>
          </rPr>
          <t>0.035</t>
        </r>
        <r>
          <rPr>
            <b/>
            <sz val="12"/>
            <color indexed="81"/>
            <rFont val="宋体"/>
            <family val="3"/>
            <charset val="134"/>
          </rPr>
          <t>元</t>
        </r>
        <r>
          <rPr>
            <b/>
            <sz val="12"/>
            <color indexed="81"/>
            <rFont val="Tahoma"/>
            <family val="2"/>
          </rPr>
          <t>/W</t>
        </r>
        <r>
          <rPr>
            <b/>
            <sz val="12"/>
            <color indexed="81"/>
            <rFont val="宋体"/>
            <family val="3"/>
            <charset val="134"/>
          </rPr>
          <t>，缺省状态下按垫资两个月，发生</t>
        </r>
        <r>
          <rPr>
            <b/>
            <sz val="12"/>
            <color indexed="81"/>
            <rFont val="Tahoma"/>
            <family val="2"/>
          </rPr>
          <t>0.07</t>
        </r>
        <r>
          <rPr>
            <b/>
            <sz val="12"/>
            <color indexed="81"/>
            <rFont val="宋体"/>
            <family val="3"/>
            <charset val="134"/>
          </rPr>
          <t>元</t>
        </r>
        <r>
          <rPr>
            <b/>
            <sz val="12"/>
            <color indexed="81"/>
            <rFont val="Tahoma"/>
            <family val="2"/>
          </rPr>
          <t>/W</t>
        </r>
        <r>
          <rPr>
            <b/>
            <sz val="12"/>
            <color indexed="81"/>
            <rFont val="宋体"/>
            <family val="3"/>
            <charset val="134"/>
          </rPr>
          <t xml:space="preserve">的建设期利息。
</t>
        </r>
        <r>
          <rPr>
            <b/>
            <sz val="12"/>
            <color indexed="81"/>
            <rFont val="Tahoma"/>
            <family val="2"/>
          </rPr>
          <t>2</t>
        </r>
        <r>
          <rPr>
            <b/>
            <sz val="12"/>
            <color indexed="81"/>
            <rFont val="宋体"/>
            <family val="3"/>
            <charset val="134"/>
          </rPr>
          <t>、如项目无股东垫资则此处输入</t>
        </r>
        <r>
          <rPr>
            <b/>
            <sz val="12"/>
            <color indexed="81"/>
            <rFont val="Tahoma"/>
            <family val="2"/>
          </rPr>
          <t>0</t>
        </r>
        <r>
          <rPr>
            <b/>
            <sz val="12"/>
            <color indexed="81"/>
            <rFont val="宋体"/>
            <family val="3"/>
            <charset val="134"/>
          </rPr>
          <t>，如明显股东垫资超两个月需按实际估足。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9" authorId="0">
      <text>
        <r>
          <rPr>
            <b/>
            <sz val="12"/>
            <color indexed="81"/>
            <rFont val="宋体"/>
            <family val="3"/>
            <charset val="134"/>
          </rPr>
          <t>此处填写首年值，并请重点填写右侧</t>
        </r>
        <r>
          <rPr>
            <b/>
            <sz val="12"/>
            <color indexed="81"/>
            <rFont val="Tahoma"/>
            <family val="2"/>
          </rPr>
          <t>20</t>
        </r>
        <r>
          <rPr>
            <b/>
            <sz val="12"/>
            <color indexed="81"/>
            <rFont val="宋体"/>
            <family val="3"/>
            <charset val="134"/>
          </rPr>
          <t>个空格，按实际租赁费用</t>
        </r>
        <r>
          <rPr>
            <b/>
            <sz val="12"/>
            <color indexed="81"/>
            <rFont val="Tahoma"/>
            <family val="2"/>
          </rPr>
          <t>+</t>
        </r>
        <r>
          <rPr>
            <b/>
            <sz val="12"/>
            <color indexed="81"/>
            <rFont val="宋体"/>
            <family val="3"/>
            <charset val="134"/>
          </rPr>
          <t>土地使用税之和。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1" authorId="0">
      <text>
        <r>
          <rPr>
            <b/>
            <sz val="12"/>
            <color indexed="81"/>
            <rFont val="宋体"/>
            <family val="3"/>
            <charset val="134"/>
            <scheme val="minor"/>
          </rPr>
          <t>注意投资单价超过</t>
        </r>
        <r>
          <rPr>
            <b/>
            <sz val="12"/>
            <color indexed="81"/>
            <rFont val="宋体"/>
            <family val="2"/>
            <scheme val="minor"/>
          </rPr>
          <t>8.5元/W时，设备增值税部分仅在得到EPC商确认情况下此比例可行，否则应考虑调减。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160730</author>
  </authors>
  <commentList>
    <comment ref="A55" authorId="0">
      <text>
        <r>
          <rPr>
            <b/>
            <sz val="9"/>
            <color indexed="81"/>
            <rFont val="宋体"/>
            <family val="3"/>
            <charset val="134"/>
          </rPr>
          <t>160730:</t>
        </r>
        <r>
          <rPr>
            <sz val="9"/>
            <color indexed="81"/>
            <rFont val="宋体"/>
            <family val="3"/>
            <charset val="134"/>
          </rPr>
          <t xml:space="preserve">
无建设期利息；总成本亦无利息。</t>
        </r>
      </text>
    </comment>
  </commentList>
</comments>
</file>

<file path=xl/sharedStrings.xml><?xml version="1.0" encoding="utf-8"?>
<sst xmlns="http://schemas.openxmlformats.org/spreadsheetml/2006/main" count="446" uniqueCount="363">
  <si>
    <t>等额本息</t>
    <phoneticPr fontId="1" type="noConversion"/>
  </si>
  <si>
    <t>地面电站</t>
    <phoneticPr fontId="1" type="noConversion"/>
  </si>
  <si>
    <t>币种 Currency</t>
    <phoneticPr fontId="1" type="noConversion"/>
  </si>
  <si>
    <t>项目类型 Project Type</t>
    <phoneticPr fontId="1" type="noConversion"/>
  </si>
  <si>
    <t>土地取得方式 Land Acquisition Approach</t>
    <phoneticPr fontId="1" type="noConversion"/>
  </si>
  <si>
    <t>土地租赁方式 Land Rent Type</t>
    <phoneticPr fontId="1" type="noConversion"/>
  </si>
  <si>
    <t>还款方式 Debt Service Method</t>
    <phoneticPr fontId="1" type="noConversion"/>
  </si>
  <si>
    <t>等额本金</t>
    <phoneticPr fontId="1" type="noConversion"/>
  </si>
  <si>
    <r>
      <rPr>
        <b/>
        <sz val="11"/>
        <color theme="1"/>
        <rFont val="Calibri"/>
        <family val="2"/>
      </rPr>
      <t>营业收入</t>
    </r>
    <phoneticPr fontId="1" type="noConversion"/>
  </si>
  <si>
    <t>购入</t>
    <phoneticPr fontId="1" type="noConversion"/>
  </si>
  <si>
    <t>租赁</t>
    <phoneticPr fontId="1" type="noConversion"/>
  </si>
  <si>
    <t>固定租金</t>
    <phoneticPr fontId="1" type="noConversion"/>
  </si>
  <si>
    <t>电费分成</t>
    <phoneticPr fontId="1" type="noConversion"/>
  </si>
  <si>
    <t>¥</t>
    <phoneticPr fontId="1" type="noConversion"/>
  </si>
  <si>
    <t>€</t>
    <phoneticPr fontId="1" type="noConversion"/>
  </si>
  <si>
    <t>$</t>
    <phoneticPr fontId="1" type="noConversion"/>
  </si>
  <si>
    <t>组件效率</t>
    <phoneticPr fontId="1" type="noConversion"/>
  </si>
  <si>
    <t>¥</t>
  </si>
  <si>
    <t>运营假设</t>
    <phoneticPr fontId="1" type="noConversion"/>
  </si>
  <si>
    <t>新能源新开发项目模型使用说明</t>
    <phoneticPr fontId="1" type="noConversion"/>
  </si>
  <si>
    <t>1、</t>
    <phoneticPr fontId="1" type="noConversion"/>
  </si>
  <si>
    <t>适用范围</t>
    <phoneticPr fontId="1" type="noConversion"/>
  </si>
  <si>
    <t>2、</t>
    <phoneticPr fontId="1" type="noConversion"/>
  </si>
  <si>
    <t>一般仅填写黄底蓝字部分</t>
  </si>
  <si>
    <t>3、</t>
    <phoneticPr fontId="1" type="noConversion"/>
  </si>
  <si>
    <t>C20栏</t>
    <phoneticPr fontId="1" type="noConversion"/>
  </si>
  <si>
    <t>注意选择地面电站或分布式电站</t>
    <phoneticPr fontId="1" type="noConversion"/>
  </si>
  <si>
    <t>根据当地消纳/送出条件估算</t>
    <phoneticPr fontId="1" type="noConversion"/>
  </si>
  <si>
    <t>计量点在出线侧时可设为0</t>
    <phoneticPr fontId="1" type="noConversion"/>
  </si>
  <si>
    <t>C34栏</t>
    <phoneticPr fontId="1" type="noConversion"/>
  </si>
  <si>
    <t>4、</t>
    <phoneticPr fontId="1" type="noConversion"/>
  </si>
  <si>
    <t>F22、F23栏</t>
    <phoneticPr fontId="1" type="noConversion"/>
  </si>
  <si>
    <t>F26栏</t>
    <phoneticPr fontId="1" type="noConversion"/>
  </si>
  <si>
    <t>F27栏</t>
    <phoneticPr fontId="1" type="noConversion"/>
  </si>
  <si>
    <t>F29栏</t>
    <phoneticPr fontId="1" type="noConversion"/>
  </si>
  <si>
    <t>F30栏</t>
    <phoneticPr fontId="1" type="noConversion"/>
  </si>
  <si>
    <t>新开发或并购在建项目，不适用已建成发电项目的测算。</t>
    <phoneticPr fontId="1" type="noConversion"/>
  </si>
  <si>
    <t>5、</t>
    <phoneticPr fontId="1" type="noConversion"/>
  </si>
  <si>
    <t>F40栏</t>
    <phoneticPr fontId="1" type="noConversion"/>
  </si>
  <si>
    <t>F42栏</t>
    <phoneticPr fontId="1" type="noConversion"/>
  </si>
  <si>
    <t>J18栏</t>
    <phoneticPr fontId="1" type="noConversion"/>
  </si>
  <si>
    <t>按工程实际暂估并请工程部门确认</t>
    <phoneticPr fontId="1" type="noConversion"/>
  </si>
  <si>
    <t>J36栏</t>
    <phoneticPr fontId="1" type="noConversion"/>
  </si>
  <si>
    <t>6、</t>
    <phoneticPr fontId="1" type="noConversion"/>
  </si>
  <si>
    <t>工程假设</t>
    <phoneticPr fontId="1" type="noConversion"/>
  </si>
  <si>
    <t>财务假设</t>
    <phoneticPr fontId="1" type="noConversion"/>
  </si>
  <si>
    <t>投资开发假设</t>
    <phoneticPr fontId="1" type="noConversion"/>
  </si>
  <si>
    <t>根据当地所处区域更新</t>
    <phoneticPr fontId="1" type="noConversion"/>
  </si>
  <si>
    <t>注意投资单价超过8.5元/W时，设备增值税部分仅在得到EPC商确认情况下此比例可行，否则应考虑调减。</t>
    <phoneticPr fontId="1" type="noConversion"/>
  </si>
  <si>
    <t>填写区域</t>
    <phoneticPr fontId="1" type="noConversion"/>
  </si>
  <si>
    <t xml:space="preserve">衰减率（%）  </t>
  </si>
  <si>
    <t xml:space="preserve">年有效利用小时数  </t>
  </si>
  <si>
    <t>满负荷发电量 万度</t>
  </si>
  <si>
    <t>发电量MWH</t>
  </si>
  <si>
    <t>销售收入合计万元</t>
  </si>
  <si>
    <t>脱硫脱销万元</t>
  </si>
  <si>
    <t>补贴万元</t>
  </si>
  <si>
    <t>财务费用万元</t>
  </si>
  <si>
    <t>总成本万元</t>
  </si>
  <si>
    <t>利润总额万元</t>
  </si>
  <si>
    <t>税后利润万元</t>
  </si>
  <si>
    <t>首年运营费用  First Year O&amp;M</t>
    <phoneticPr fontId="1" type="noConversion"/>
  </si>
  <si>
    <t>C19栏</t>
    <phoneticPr fontId="1" type="noConversion"/>
  </si>
  <si>
    <t>C22栏</t>
    <phoneticPr fontId="1" type="noConversion"/>
  </si>
  <si>
    <t>C26栏</t>
    <phoneticPr fontId="1" type="noConversion"/>
  </si>
  <si>
    <t>C28栏</t>
    <phoneticPr fontId="1" type="noConversion"/>
  </si>
  <si>
    <t>C33栏</t>
    <phoneticPr fontId="1" type="noConversion"/>
  </si>
  <si>
    <t>F28栏</t>
    <phoneticPr fontId="1" type="noConversion"/>
  </si>
  <si>
    <t>J41栏</t>
    <phoneticPr fontId="1" type="noConversion"/>
  </si>
  <si>
    <t>J42栏</t>
    <phoneticPr fontId="1" type="noConversion"/>
  </si>
  <si>
    <t>J38栏</t>
    <phoneticPr fontId="1" type="noConversion"/>
  </si>
  <si>
    <t>J39栏</t>
    <phoneticPr fontId="1" type="noConversion"/>
  </si>
  <si>
    <t>等额本息</t>
  </si>
  <si>
    <t>填写项目名称</t>
    <phoneticPr fontId="1" type="noConversion"/>
  </si>
  <si>
    <t>敏感性因素表</t>
    <phoneticPr fontId="1" type="noConversion"/>
  </si>
  <si>
    <t>投资单价敏感性分析</t>
    <phoneticPr fontId="1" type="noConversion"/>
  </si>
  <si>
    <t>发电小时敏感性分析</t>
    <phoneticPr fontId="1" type="noConversion"/>
  </si>
  <si>
    <t>发电量预测</t>
    <phoneticPr fontId="1" type="noConversion"/>
  </si>
  <si>
    <t>收入、成本、利润预测</t>
    <phoneticPr fontId="1" type="noConversion"/>
  </si>
  <si>
    <t>万度</t>
    <phoneticPr fontId="1" type="noConversion"/>
  </si>
  <si>
    <t>项目规模 MW</t>
    <phoneticPr fontId="1" type="noConversion"/>
  </si>
  <si>
    <t xml:space="preserve">衰减率（%）  </t>
    <phoneticPr fontId="1" type="noConversion"/>
  </si>
  <si>
    <t xml:space="preserve">年有效利用小时数  </t>
    <phoneticPr fontId="1" type="noConversion"/>
  </si>
  <si>
    <t>满负荷发电量 万度</t>
    <phoneticPr fontId="1" type="noConversion"/>
  </si>
  <si>
    <t>20年年均发电量</t>
    <phoneticPr fontId="1" type="noConversion"/>
  </si>
  <si>
    <t>20年总发电量</t>
  </si>
  <si>
    <t>项目规模 MW</t>
    <phoneticPr fontId="1" type="noConversion"/>
  </si>
  <si>
    <t>项目</t>
    <phoneticPr fontId="1" type="noConversion"/>
  </si>
  <si>
    <t>第1年</t>
    <phoneticPr fontId="1" type="noConversion"/>
  </si>
  <si>
    <t>第5年</t>
    <phoneticPr fontId="1" type="noConversion"/>
  </si>
  <si>
    <t>第10年</t>
    <phoneticPr fontId="1" type="noConversion"/>
  </si>
  <si>
    <t>第15年</t>
    <phoneticPr fontId="1" type="noConversion"/>
  </si>
  <si>
    <t>第20年</t>
    <phoneticPr fontId="1" type="noConversion"/>
  </si>
  <si>
    <t>运营成本万元</t>
    <phoneticPr fontId="2" type="noConversion"/>
  </si>
  <si>
    <t>折旧摊销</t>
    <phoneticPr fontId="2" type="noConversion"/>
  </si>
  <si>
    <t>币种</t>
    <phoneticPr fontId="1" type="noConversion"/>
  </si>
  <si>
    <t>项目名称</t>
  </si>
  <si>
    <t>装机容量</t>
  </si>
  <si>
    <t>安装类型</t>
  </si>
  <si>
    <t>限电损失</t>
  </si>
  <si>
    <t>设备损失</t>
  </si>
  <si>
    <t>送出线损</t>
  </si>
  <si>
    <t>折旧假设</t>
    <phoneticPr fontId="1" type="noConversion"/>
  </si>
  <si>
    <t>所得税假设</t>
    <phoneticPr fontId="1" type="noConversion"/>
  </si>
  <si>
    <t>项目建造成本</t>
    <phoneticPr fontId="1" type="noConversion"/>
  </si>
  <si>
    <t>运营假设</t>
    <phoneticPr fontId="1" type="noConversion"/>
  </si>
  <si>
    <t>可抵扣增值税额(万元)</t>
    <phoneticPr fontId="1" type="noConversion"/>
  </si>
  <si>
    <t>设备占固定资产比例%</t>
    <phoneticPr fontId="1" type="noConversion"/>
  </si>
  <si>
    <t>营业税及附加%</t>
    <phoneticPr fontId="1" type="noConversion"/>
  </si>
  <si>
    <t>总投资 万元</t>
    <phoneticPr fontId="2" type="noConversion"/>
  </si>
  <si>
    <t>净现值 万元</t>
    <phoneticPr fontId="1" type="noConversion"/>
  </si>
  <si>
    <t>项目开发假设</t>
    <phoneticPr fontId="2" type="noConversion"/>
  </si>
  <si>
    <t>财务假设</t>
    <phoneticPr fontId="2" type="noConversion"/>
  </si>
  <si>
    <t>工程假设</t>
    <phoneticPr fontId="1" type="noConversion"/>
  </si>
  <si>
    <t>总价</t>
    <phoneticPr fontId="1" type="noConversion"/>
  </si>
  <si>
    <t>单价</t>
    <phoneticPr fontId="1" type="noConversion"/>
  </si>
  <si>
    <t>所得税(%)</t>
    <phoneticPr fontId="1" type="noConversion"/>
  </si>
  <si>
    <t>免税期(年)</t>
    <phoneticPr fontId="1" type="noConversion"/>
  </si>
  <si>
    <t>减半期(年)</t>
    <phoneticPr fontId="1" type="noConversion"/>
  </si>
  <si>
    <t>其他损失</t>
    <phoneticPr fontId="1" type="noConversion"/>
  </si>
  <si>
    <t>项目资本化成本</t>
    <phoneticPr fontId="1" type="noConversion"/>
  </si>
  <si>
    <t>项目总价</t>
    <phoneticPr fontId="1" type="noConversion"/>
  </si>
  <si>
    <t>减：增值税</t>
    <phoneticPr fontId="1" type="noConversion"/>
  </si>
  <si>
    <t>通货膨胀假设</t>
    <phoneticPr fontId="1" type="noConversion"/>
  </si>
  <si>
    <t>出资比例</t>
    <phoneticPr fontId="1" type="noConversion"/>
  </si>
  <si>
    <t>成本通胀率</t>
    <phoneticPr fontId="1" type="noConversion"/>
  </si>
  <si>
    <t>资本金</t>
    <phoneticPr fontId="1" type="noConversion"/>
  </si>
  <si>
    <t>其他技术假设</t>
    <phoneticPr fontId="1" type="noConversion"/>
  </si>
  <si>
    <t>组件效率衰减% - 第1年</t>
    <phoneticPr fontId="1" type="noConversion"/>
  </si>
  <si>
    <t>组件效率衰减% - 第2-10年</t>
    <phoneticPr fontId="1" type="noConversion"/>
  </si>
  <si>
    <t>组件效率衰减% - 第11年以后</t>
    <phoneticPr fontId="1" type="noConversion"/>
  </si>
  <si>
    <t>投资单价</t>
    <phoneticPr fontId="1" type="noConversion"/>
  </si>
  <si>
    <t>利率</t>
    <phoneticPr fontId="1" type="noConversion"/>
  </si>
  <si>
    <t>7、</t>
    <phoneticPr fontId="1" type="noConversion"/>
  </si>
  <si>
    <t>请根据租赁协议、土地使用税情况估算首年费用，并注意右侧1~20年下方的空格中数据更新（L29~U29、L31~U31）。</t>
    <phoneticPr fontId="1" type="noConversion"/>
  </si>
  <si>
    <t>O4、O6、O9、O11栏</t>
    <phoneticPr fontId="1" type="noConversion"/>
  </si>
  <si>
    <t>输入基准值用于做-10%~10%的敏感性分析</t>
    <phoneticPr fontId="1" type="noConversion"/>
  </si>
  <si>
    <t>全投资内部收益率</t>
    <phoneticPr fontId="2" type="noConversion"/>
  </si>
  <si>
    <t>资本金内部收益率</t>
    <phoneticPr fontId="2" type="noConversion"/>
  </si>
  <si>
    <t>资本金 万元</t>
    <phoneticPr fontId="2" type="noConversion"/>
  </si>
  <si>
    <t>投资单价 元/W</t>
    <phoneticPr fontId="1" type="noConversion"/>
  </si>
  <si>
    <t>根据项目融资条件</t>
    <phoneticPr fontId="1" type="noConversion"/>
  </si>
  <si>
    <t>一般为80%，并购项目需注意注册资本金比例大于20%时相应调整</t>
    <phoneticPr fontId="1" type="noConversion"/>
  </si>
  <si>
    <t>版本号</t>
    <phoneticPr fontId="1" type="noConversion"/>
  </si>
  <si>
    <t>批准日期</t>
    <phoneticPr fontId="1" type="noConversion"/>
  </si>
  <si>
    <t>下发日期</t>
    <phoneticPr fontId="1" type="noConversion"/>
  </si>
  <si>
    <t>建设期</t>
    <phoneticPr fontId="1" type="noConversion"/>
  </si>
  <si>
    <t>第1期</t>
    <phoneticPr fontId="1" type="noConversion"/>
  </si>
  <si>
    <t>第2期</t>
    <phoneticPr fontId="1" type="noConversion"/>
  </si>
  <si>
    <t>第3期</t>
  </si>
  <si>
    <t>第4期</t>
  </si>
  <si>
    <t>第5期</t>
  </si>
  <si>
    <t>第6期</t>
  </si>
  <si>
    <t>第7期</t>
  </si>
  <si>
    <t>第8期</t>
  </si>
  <si>
    <t>第9期</t>
  </si>
  <si>
    <t>第10期</t>
  </si>
  <si>
    <t>第11期</t>
  </si>
  <si>
    <t>第12期</t>
  </si>
  <si>
    <t>第13期</t>
  </si>
  <si>
    <t>第14期</t>
  </si>
  <si>
    <t>第15期</t>
  </si>
  <si>
    <t>第16期</t>
  </si>
  <si>
    <t>第17期</t>
  </si>
  <si>
    <t>第18期</t>
  </si>
  <si>
    <t>第19期</t>
  </si>
  <si>
    <t>第20期</t>
  </si>
  <si>
    <t>第21期</t>
  </si>
  <si>
    <t>期数</t>
    <phoneticPr fontId="1" type="noConversion"/>
  </si>
  <si>
    <t>备注</t>
    <phoneticPr fontId="1" type="noConversion"/>
  </si>
  <si>
    <t>单价元/kWh</t>
    <phoneticPr fontId="1" type="noConversion"/>
  </si>
  <si>
    <t>分期投资调整表</t>
    <phoneticPr fontId="1" type="noConversion"/>
  </si>
  <si>
    <t>Check</t>
    <phoneticPr fontId="1" type="noConversion"/>
  </si>
  <si>
    <t>期数</t>
    <phoneticPr fontId="1" type="noConversion"/>
  </si>
  <si>
    <t>备注</t>
    <phoneticPr fontId="1" type="noConversion"/>
  </si>
  <si>
    <t>额外补贴电价调整表</t>
    <phoneticPr fontId="1" type="noConversion"/>
  </si>
  <si>
    <t>V20140610</t>
    <phoneticPr fontId="1" type="noConversion"/>
  </si>
  <si>
    <t>V20140624</t>
    <phoneticPr fontId="1" type="noConversion"/>
  </si>
  <si>
    <t>西部模型增加分期投资调整、补贴电价调整、消纳比例调整；非西部模型增加分期投资调整、补贴电价调整</t>
    <phoneticPr fontId="1" type="noConversion"/>
  </si>
  <si>
    <t>V20140725</t>
    <phoneticPr fontId="1" type="noConversion"/>
  </si>
  <si>
    <t>前期开发、工程建设管理费、监理费、生产准备费按容量自动更新，增加测算EPC价格的小表格</t>
    <phoneticPr fontId="1" type="noConversion"/>
  </si>
  <si>
    <t>发电率调整表</t>
    <phoneticPr fontId="1" type="noConversion"/>
  </si>
  <si>
    <t>版本类型：</t>
    <phoneticPr fontId="1" type="noConversion"/>
  </si>
  <si>
    <t>版本日期：</t>
    <phoneticPr fontId="1" type="noConversion"/>
  </si>
  <si>
    <t>待建/在建</t>
    <phoneticPr fontId="1" type="noConversion"/>
  </si>
  <si>
    <t>V20141229</t>
    <phoneticPr fontId="1" type="noConversion"/>
  </si>
  <si>
    <t>将西部和非西部模型统一，首年国补账期12个月，之后每年账期依GDP，前10名3个月，11~15名4个月，16~20名5个月，21之后6个月，或依实际账期</t>
    <phoneticPr fontId="1" type="noConversion"/>
  </si>
  <si>
    <t>屋顶分布式电站</t>
    <phoneticPr fontId="1" type="noConversion"/>
  </si>
  <si>
    <t>计划并网日</t>
    <phoneticPr fontId="1" type="noConversion"/>
  </si>
  <si>
    <t>首年有效利用小时</t>
    <phoneticPr fontId="1" type="noConversion"/>
  </si>
  <si>
    <t>厂内系统效率</t>
    <phoneticPr fontId="1" type="noConversion"/>
  </si>
  <si>
    <t>国家补贴电价</t>
    <phoneticPr fontId="1" type="noConversion"/>
  </si>
  <si>
    <t>固定资产残值率</t>
    <phoneticPr fontId="1" type="noConversion"/>
  </si>
  <si>
    <t>固定资产折旧期间(年)</t>
    <phoneticPr fontId="1" type="noConversion"/>
  </si>
  <si>
    <t>土地使用权摊销年限(年)</t>
    <phoneticPr fontId="1" type="noConversion"/>
  </si>
  <si>
    <t>长期贷款还款方式</t>
    <phoneticPr fontId="1" type="noConversion"/>
  </si>
  <si>
    <t>长期贷款还款期限</t>
    <phoneticPr fontId="1" type="noConversion"/>
  </si>
  <si>
    <t xml:space="preserve">长期贷款融资比率 % </t>
    <phoneticPr fontId="1" type="noConversion"/>
  </si>
  <si>
    <t>首年运营维护成本</t>
    <phoneticPr fontId="1" type="noConversion"/>
  </si>
  <si>
    <t>开发费用</t>
    <phoneticPr fontId="1" type="noConversion"/>
  </si>
  <si>
    <t>咨询费用</t>
    <phoneticPr fontId="1" type="noConversion"/>
  </si>
  <si>
    <t>土地使用权</t>
    <phoneticPr fontId="1" type="noConversion"/>
  </si>
  <si>
    <t>工程建设费用</t>
    <phoneticPr fontId="1" type="noConversion"/>
  </si>
  <si>
    <t>设计、勘察费</t>
    <phoneticPr fontId="1" type="noConversion"/>
  </si>
  <si>
    <t>设备费</t>
    <phoneticPr fontId="1" type="noConversion"/>
  </si>
  <si>
    <t>其中：支架</t>
    <phoneticPr fontId="1" type="noConversion"/>
  </si>
  <si>
    <t xml:space="preserve">           组件</t>
    <phoneticPr fontId="1" type="noConversion"/>
  </si>
  <si>
    <t xml:space="preserve">           逆变器</t>
    <phoneticPr fontId="1" type="noConversion"/>
  </si>
  <si>
    <t>厂内建安费</t>
    <phoneticPr fontId="1" type="noConversion"/>
  </si>
  <si>
    <t>监理费</t>
    <phoneticPr fontId="1" type="noConversion"/>
  </si>
  <si>
    <t>不可预见费</t>
    <phoneticPr fontId="1" type="noConversion"/>
  </si>
  <si>
    <t>生产准备费</t>
    <phoneticPr fontId="1" type="noConversion"/>
  </si>
  <si>
    <t>EPC采保费、利润及税金</t>
    <phoneticPr fontId="1" type="noConversion"/>
  </si>
  <si>
    <t>设计勘察费</t>
    <phoneticPr fontId="1" type="noConversion"/>
  </si>
  <si>
    <t>设备费</t>
    <phoneticPr fontId="1" type="noConversion"/>
  </si>
  <si>
    <t>厂内建安费</t>
    <phoneticPr fontId="1" type="noConversion"/>
  </si>
  <si>
    <t>EPC采保费</t>
    <phoneticPr fontId="1" type="noConversion"/>
  </si>
  <si>
    <t>EPC垫资利息</t>
    <phoneticPr fontId="1" type="noConversion"/>
  </si>
  <si>
    <t>外线工程</t>
    <phoneticPr fontId="1" type="noConversion"/>
  </si>
  <si>
    <t>不可预见费</t>
    <phoneticPr fontId="1" type="noConversion"/>
  </si>
  <si>
    <t>合计</t>
    <phoneticPr fontId="1" type="noConversion"/>
  </si>
  <si>
    <t>EPC费用</t>
    <phoneticPr fontId="1" type="noConversion"/>
  </si>
  <si>
    <t>计量表处效率</t>
    <phoneticPr fontId="1" type="noConversion"/>
  </si>
  <si>
    <t>应收账款</t>
    <phoneticPr fontId="1" type="noConversion"/>
  </si>
  <si>
    <t>拆迁补偿、赞助</t>
    <phoneticPr fontId="1" type="noConversion"/>
  </si>
  <si>
    <t>项目运营期限(年)</t>
    <phoneticPr fontId="1" type="noConversion"/>
  </si>
  <si>
    <t>补贴电价期限(年)</t>
    <phoneticPr fontId="1" type="noConversion"/>
  </si>
  <si>
    <t>项目融资条件</t>
    <phoneticPr fontId="1" type="noConversion"/>
  </si>
  <si>
    <t>基准折现率</t>
    <phoneticPr fontId="1" type="noConversion"/>
  </si>
  <si>
    <r>
      <rPr>
        <sz val="11"/>
        <color theme="1"/>
        <rFont val="宋体"/>
        <family val="3"/>
        <charset val="134"/>
      </rPr>
      <t>电量</t>
    </r>
    <r>
      <rPr>
        <sz val="11"/>
        <color theme="1"/>
        <rFont val="Arial"/>
        <family val="2"/>
      </rPr>
      <t xml:space="preserve"> (kWh)</t>
    </r>
    <phoneticPr fontId="1" type="noConversion"/>
  </si>
  <si>
    <t>还本付息表</t>
    <phoneticPr fontId="1" type="noConversion"/>
  </si>
  <si>
    <t>等额本息</t>
    <phoneticPr fontId="1" type="noConversion"/>
  </si>
  <si>
    <t>期初余额</t>
    <phoneticPr fontId="1" type="noConversion"/>
  </si>
  <si>
    <t>当期本金</t>
    <phoneticPr fontId="1" type="noConversion"/>
  </si>
  <si>
    <t>当期利息</t>
    <phoneticPr fontId="1" type="noConversion"/>
  </si>
  <si>
    <t>期末余额</t>
    <phoneticPr fontId="1" type="noConversion"/>
  </si>
  <si>
    <t>当期本利和</t>
    <phoneticPr fontId="1" type="noConversion"/>
  </si>
  <si>
    <t>等额本金</t>
    <phoneticPr fontId="1" type="noConversion"/>
  </si>
  <si>
    <t>营业收入</t>
    <phoneticPr fontId="1" type="noConversion"/>
  </si>
  <si>
    <t>国家补贴</t>
    <phoneticPr fontId="1" type="noConversion"/>
  </si>
  <si>
    <t>省市补贴</t>
    <phoneticPr fontId="1" type="noConversion"/>
  </si>
  <si>
    <t>增值税</t>
    <phoneticPr fontId="1" type="noConversion"/>
  </si>
  <si>
    <t>销项增值税</t>
    <phoneticPr fontId="1" type="noConversion"/>
  </si>
  <si>
    <t>进项增值税</t>
    <phoneticPr fontId="1" type="noConversion"/>
  </si>
  <si>
    <t>城建税及附加</t>
    <phoneticPr fontId="1" type="noConversion"/>
  </si>
  <si>
    <t>总成本</t>
    <phoneticPr fontId="1" type="noConversion"/>
  </si>
  <si>
    <t>折旧</t>
    <phoneticPr fontId="1" type="noConversion"/>
  </si>
  <si>
    <t>摊销</t>
    <phoneticPr fontId="1" type="noConversion"/>
  </si>
  <si>
    <t>利息</t>
    <phoneticPr fontId="1" type="noConversion"/>
  </si>
  <si>
    <t>利润总额</t>
    <phoneticPr fontId="1" type="noConversion"/>
  </si>
  <si>
    <t>所得税</t>
    <phoneticPr fontId="1" type="noConversion"/>
  </si>
  <si>
    <t>净利润</t>
    <phoneticPr fontId="1" type="noConversion"/>
  </si>
  <si>
    <t>EBIT</t>
    <phoneticPr fontId="1" type="noConversion"/>
  </si>
  <si>
    <t>EBITDA-Tax</t>
    <phoneticPr fontId="1" type="noConversion"/>
  </si>
  <si>
    <r>
      <rPr>
        <b/>
        <sz val="11"/>
        <color rgb="FFFFFFFF"/>
        <rFont val="Calibri"/>
        <family val="2"/>
      </rPr>
      <t>利润表</t>
    </r>
    <phoneticPr fontId="1" type="noConversion"/>
  </si>
  <si>
    <t>土地租金及土地使用税</t>
    <phoneticPr fontId="1" type="noConversion"/>
  </si>
  <si>
    <t>现金流入</t>
    <phoneticPr fontId="1" type="noConversion"/>
  </si>
  <si>
    <t>营业收入</t>
    <phoneticPr fontId="1" type="noConversion"/>
  </si>
  <si>
    <t>省市补贴</t>
    <phoneticPr fontId="1" type="noConversion"/>
  </si>
  <si>
    <t>回收固定资产余值</t>
    <phoneticPr fontId="1" type="noConversion"/>
  </si>
  <si>
    <t>现金流出</t>
    <phoneticPr fontId="1" type="noConversion"/>
  </si>
  <si>
    <t>建设投资</t>
    <phoneticPr fontId="1" type="noConversion"/>
  </si>
  <si>
    <t>增值税及附加</t>
    <phoneticPr fontId="1" type="noConversion"/>
  </si>
  <si>
    <t>调整所得税</t>
    <phoneticPr fontId="1" type="noConversion"/>
  </si>
  <si>
    <t>净现金流量</t>
    <phoneticPr fontId="1" type="noConversion"/>
  </si>
  <si>
    <t>现金流入</t>
    <phoneticPr fontId="1" type="noConversion"/>
  </si>
  <si>
    <t>现金流出</t>
    <phoneticPr fontId="1" type="noConversion"/>
  </si>
  <si>
    <t>项目资本金</t>
    <phoneticPr fontId="1" type="noConversion"/>
  </si>
  <si>
    <t>偿还本金</t>
    <phoneticPr fontId="1" type="noConversion"/>
  </si>
  <si>
    <t>偿还利息</t>
    <phoneticPr fontId="1" type="noConversion"/>
  </si>
  <si>
    <t>经营成本</t>
    <phoneticPr fontId="1" type="noConversion"/>
  </si>
  <si>
    <t>增值税及附加</t>
    <phoneticPr fontId="1" type="noConversion"/>
  </si>
  <si>
    <t>所得税</t>
    <phoneticPr fontId="1" type="noConversion"/>
  </si>
  <si>
    <t>净现金流量</t>
    <phoneticPr fontId="1" type="noConversion"/>
  </si>
  <si>
    <t>项目</t>
    <phoneticPr fontId="1" type="noConversion"/>
  </si>
  <si>
    <t>项目投资现金流量表</t>
    <phoneticPr fontId="1" type="noConversion"/>
  </si>
  <si>
    <t>项目资本金现金流量表</t>
    <phoneticPr fontId="1" type="noConversion"/>
  </si>
  <si>
    <t>累计净现金流量</t>
    <phoneticPr fontId="1" type="noConversion"/>
  </si>
  <si>
    <t>资产</t>
    <phoneticPr fontId="1" type="noConversion"/>
  </si>
  <si>
    <t>财务计划现金流量表</t>
    <phoneticPr fontId="1" type="noConversion"/>
  </si>
  <si>
    <t>经营活动现金流</t>
    <phoneticPr fontId="1" type="noConversion"/>
  </si>
  <si>
    <t>现金流入</t>
    <phoneticPr fontId="1" type="noConversion"/>
  </si>
  <si>
    <t>营业收入</t>
    <phoneticPr fontId="1" type="noConversion"/>
  </si>
  <si>
    <t>国家补贴</t>
    <phoneticPr fontId="1" type="noConversion"/>
  </si>
  <si>
    <t>省市补贴</t>
    <phoneticPr fontId="1" type="noConversion"/>
  </si>
  <si>
    <t>现金流出</t>
    <phoneticPr fontId="1" type="noConversion"/>
  </si>
  <si>
    <t>增值税及附加</t>
    <phoneticPr fontId="1" type="noConversion"/>
  </si>
  <si>
    <t>经营成本</t>
    <phoneticPr fontId="1" type="noConversion"/>
  </si>
  <si>
    <t>投资活动现金流</t>
    <phoneticPr fontId="1" type="noConversion"/>
  </si>
  <si>
    <t>现金流入</t>
    <phoneticPr fontId="1" type="noConversion"/>
  </si>
  <si>
    <t>建设投资</t>
    <phoneticPr fontId="1" type="noConversion"/>
  </si>
  <si>
    <t>筹资活动现金流</t>
    <phoneticPr fontId="1" type="noConversion"/>
  </si>
  <si>
    <t>资本金流入</t>
    <phoneticPr fontId="1" type="noConversion"/>
  </si>
  <si>
    <t>建设投资借款</t>
    <phoneticPr fontId="1" type="noConversion"/>
  </si>
  <si>
    <t>偿还本金</t>
    <phoneticPr fontId="1" type="noConversion"/>
  </si>
  <si>
    <t>应付利息</t>
    <phoneticPr fontId="1" type="noConversion"/>
  </si>
  <si>
    <t>应付股利</t>
    <phoneticPr fontId="1" type="noConversion"/>
  </si>
  <si>
    <t>净现金流量</t>
    <phoneticPr fontId="1" type="noConversion"/>
  </si>
  <si>
    <t>累计盈余</t>
    <phoneticPr fontId="1" type="noConversion"/>
  </si>
  <si>
    <t>资产负债表</t>
    <phoneticPr fontId="1" type="noConversion"/>
  </si>
  <si>
    <t>在建工程</t>
    <phoneticPr fontId="1" type="noConversion"/>
  </si>
  <si>
    <t>固定资产净值</t>
    <phoneticPr fontId="1" type="noConversion"/>
  </si>
  <si>
    <t>无形资产净值</t>
    <phoneticPr fontId="1" type="noConversion"/>
  </si>
  <si>
    <t>负债及所有者权益</t>
    <phoneticPr fontId="1" type="noConversion"/>
  </si>
  <si>
    <t>建设投资借款</t>
    <phoneticPr fontId="1" type="noConversion"/>
  </si>
  <si>
    <t>负债</t>
    <phoneticPr fontId="1" type="noConversion"/>
  </si>
  <si>
    <t>所有者权益</t>
    <phoneticPr fontId="1" type="noConversion"/>
  </si>
  <si>
    <t>资本金</t>
    <phoneticPr fontId="1" type="noConversion"/>
  </si>
  <si>
    <t>累计盈余公积</t>
    <phoneticPr fontId="1" type="noConversion"/>
  </si>
  <si>
    <t>累计未分配利润</t>
    <phoneticPr fontId="1" type="noConversion"/>
  </si>
  <si>
    <t>净运营资本</t>
    <phoneticPr fontId="1" type="noConversion"/>
  </si>
  <si>
    <t>净资产收益率</t>
    <phoneticPr fontId="1" type="noConversion"/>
  </si>
  <si>
    <t>资本金回收期 年</t>
    <phoneticPr fontId="2" type="noConversion"/>
  </si>
  <si>
    <t>脱硫应收帐龄(月)</t>
    <phoneticPr fontId="1" type="noConversion"/>
  </si>
  <si>
    <t>首年财政补贴应收账龄(月)</t>
    <phoneticPr fontId="1" type="noConversion"/>
  </si>
  <si>
    <t>省市等财政补贴应收账齡(月)</t>
    <phoneticPr fontId="1" type="noConversion"/>
  </si>
  <si>
    <t>开发类型</t>
    <phoneticPr fontId="1" type="noConversion"/>
  </si>
  <si>
    <t>自行开发</t>
  </si>
  <si>
    <t>长期贷款借款年利率 %</t>
    <phoneticPr fontId="1" type="noConversion"/>
  </si>
  <si>
    <t>过桥资金融资年利率 %</t>
    <phoneticPr fontId="1" type="noConversion"/>
  </si>
  <si>
    <t>过桥资金融资比率 %</t>
    <phoneticPr fontId="1" type="noConversion"/>
  </si>
  <si>
    <t>运维成本</t>
    <phoneticPr fontId="1" type="noConversion"/>
  </si>
  <si>
    <t>度电成本</t>
    <phoneticPr fontId="1" type="noConversion"/>
  </si>
  <si>
    <t>前5年平均度电成本</t>
    <phoneticPr fontId="2" type="noConversion"/>
  </si>
  <si>
    <t>大包干费用</t>
    <phoneticPr fontId="1" type="noConversion"/>
  </si>
  <si>
    <t>后19年财政补贴应收账龄(月)</t>
    <phoneticPr fontId="1" type="noConversion"/>
  </si>
  <si>
    <t>土地租金及土地使用税</t>
    <phoneticPr fontId="1" type="noConversion"/>
  </si>
  <si>
    <t>金额(元)</t>
    <phoneticPr fontId="1" type="noConversion"/>
  </si>
  <si>
    <t>厂外线路建安费</t>
    <phoneticPr fontId="1" type="noConversion"/>
  </si>
  <si>
    <t>业主管理费</t>
    <phoneticPr fontId="1" type="noConversion"/>
  </si>
  <si>
    <t>建设期利息</t>
    <phoneticPr fontId="1" type="noConversion"/>
  </si>
  <si>
    <t>EPC垫资利息</t>
    <phoneticPr fontId="1" type="noConversion"/>
  </si>
  <si>
    <t>V20151015</t>
    <phoneticPr fontId="1" type="noConversion"/>
  </si>
  <si>
    <t>C16栏</t>
    <phoneticPr fontId="1" type="noConversion"/>
  </si>
  <si>
    <t>按备案装机容量填写，不能算加装容量</t>
    <phoneticPr fontId="1" type="noConversion"/>
  </si>
  <si>
    <t>西部五省按NASA,METEONORM软件高值，其它地区外按软件均值</t>
    <phoneticPr fontId="1" type="noConversion"/>
  </si>
  <si>
    <t>地面电站：为脱硫脱硝电价，屋顶分布式电站为用户消纳与余电上网之综合电价</t>
    <phoneticPr fontId="1" type="noConversion"/>
  </si>
  <si>
    <t>只填写国补</t>
    <phoneticPr fontId="1" type="noConversion"/>
  </si>
  <si>
    <t>一般按2免3减半，4季度发电的可估3免3减半</t>
    <phoneticPr fontId="1" type="noConversion"/>
  </si>
  <si>
    <t>F25栏</t>
    <phoneticPr fontId="1" type="noConversion"/>
  </si>
  <si>
    <t>可不填</t>
    <phoneticPr fontId="1" type="noConversion"/>
  </si>
  <si>
    <t>基准利率上浮10%</t>
    <phoneticPr fontId="1" type="noConversion"/>
  </si>
  <si>
    <t>15年。收购建成类15年。分布式10MW以下，10年。</t>
    <phoneticPr fontId="1" type="noConversion"/>
  </si>
  <si>
    <t>按24个月填写</t>
    <phoneticPr fontId="1" type="noConversion"/>
  </si>
  <si>
    <t>统一按3个月填写</t>
    <phoneticPr fontId="1" type="noConversion"/>
  </si>
  <si>
    <t>根据包干奖励标准填写</t>
    <phoneticPr fontId="1" type="noConversion"/>
  </si>
  <si>
    <r>
      <t>J19</t>
    </r>
    <r>
      <rPr>
        <sz val="11"/>
        <color theme="1"/>
        <rFont val="宋体"/>
        <family val="3"/>
        <charset val="134"/>
      </rPr>
      <t>～</t>
    </r>
    <r>
      <rPr>
        <sz val="11"/>
        <color theme="1"/>
        <rFont val="宋体"/>
        <family val="2"/>
        <charset val="134"/>
      </rPr>
      <t>21</t>
    </r>
    <r>
      <rPr>
        <sz val="11"/>
        <color theme="1"/>
        <rFont val="宋体"/>
        <family val="2"/>
        <charset val="134"/>
        <scheme val="minor"/>
      </rPr>
      <t>，J22~J34栏</t>
    </r>
    <phoneticPr fontId="1" type="noConversion"/>
  </si>
  <si>
    <t>J35栏</t>
    <phoneticPr fontId="1" type="noConversion"/>
  </si>
  <si>
    <t>按标准暂估，并请运营管理部确认</t>
    <phoneticPr fontId="1" type="noConversion"/>
  </si>
  <si>
    <t>按0.07元/瓦暂估，并请金融管理部确认</t>
    <phoneticPr fontId="1" type="noConversion"/>
  </si>
  <si>
    <t>8、</t>
    <phoneticPr fontId="1" type="noConversion"/>
  </si>
  <si>
    <t>分期投资调整表</t>
    <phoneticPr fontId="1" type="noConversion"/>
  </si>
  <si>
    <t>根据土地租赁协议，按一年一付计算</t>
    <phoneticPr fontId="1" type="noConversion"/>
  </si>
  <si>
    <t>9、</t>
    <phoneticPr fontId="1" type="noConversion"/>
  </si>
  <si>
    <t>额外电价补贴调整表</t>
    <phoneticPr fontId="1" type="noConversion"/>
  </si>
  <si>
    <t>根据省、市、县补贴标准填写</t>
    <phoneticPr fontId="1" type="noConversion"/>
  </si>
  <si>
    <t>10、</t>
    <phoneticPr fontId="1" type="noConversion"/>
  </si>
  <si>
    <t>发电率调整表</t>
    <phoneticPr fontId="1" type="noConversion"/>
  </si>
  <si>
    <t>根据实际或预计的限电比例、年限填写</t>
    <phoneticPr fontId="1" type="noConversion"/>
  </si>
  <si>
    <t>根据目前收到首批国家补贴的情况，将首年国家补贴账期调到24个月，即第二年年底才能获得第一年国家补贴，后19年国家补贴，按逾期3个月考虑。</t>
    <phoneticPr fontId="1" type="noConversion"/>
  </si>
  <si>
    <t>各因素对资本金IRR敏感性分析</t>
    <phoneticPr fontId="1" type="noConversion"/>
  </si>
  <si>
    <t>综合电价敏感性分析</t>
    <phoneticPr fontId="1" type="noConversion"/>
  </si>
  <si>
    <t>地面电站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</si>
</sst>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 * #,##0.00_ ;_ * \-#,##0.00_ ;_ * &quot;-&quot;??_ ;_ @_ "/>
    <numFmt numFmtId="176" formatCode="_ * #,##0.000_ ;_ * \-#,##0.000_ ;_ * &quot;-&quot;??_ ;_ @_ "/>
    <numFmt numFmtId="177" formatCode="#,##0.0000"/>
    <numFmt numFmtId="178" formatCode="#,##0.000"/>
    <numFmt numFmtId="179" formatCode="_ * #,##0_ ;_ * \-#,##0_ ;_ * &quot;-&quot;??_ ;_ @_ "/>
    <numFmt numFmtId="180" formatCode="0_ "/>
    <numFmt numFmtId="181" formatCode="#,##0_ "/>
    <numFmt numFmtId="182" formatCode="0.00_ "/>
    <numFmt numFmtId="183" formatCode="0.00_);[Red]\(0.00\)"/>
    <numFmt numFmtId="184" formatCode="#,##0.000_ "/>
    <numFmt numFmtId="185" formatCode="0.000_ "/>
    <numFmt numFmtId="186" formatCode="0_ ;[Red]\-0\ "/>
    <numFmt numFmtId="187" formatCode="0_);[Red]\(0\)"/>
    <numFmt numFmtId="188" formatCode="0;[Red]0"/>
    <numFmt numFmtId="189" formatCode="#,##0.00_ ;[Red]\-#,##0.00\ "/>
    <numFmt numFmtId="190" formatCode="0.00_ ;[Red]\-0.00\ "/>
    <numFmt numFmtId="191" formatCode="0.000_ ;[Red]\-0.000\ "/>
  </numFmts>
  <fonts count="6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宋体"/>
      <family val="3"/>
      <charset val="134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 tint="0.499984740745262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4" tint="-0.249977111117893"/>
      <name val="Arial"/>
      <family val="2"/>
    </font>
    <font>
      <b/>
      <sz val="11"/>
      <color theme="4" tint="-0.249977111117893"/>
      <name val="宋体"/>
      <family val="3"/>
      <charset val="134"/>
    </font>
    <font>
      <b/>
      <sz val="20"/>
      <color theme="1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1"/>
      <name val="宋体"/>
      <family val="3"/>
      <charset val="134"/>
    </font>
    <font>
      <b/>
      <sz val="12"/>
      <color indexed="81"/>
      <name val="Tahoma"/>
      <family val="2"/>
    </font>
    <font>
      <b/>
      <sz val="12"/>
      <color indexed="81"/>
      <name val="宋体"/>
      <family val="3"/>
      <charset val="134"/>
      <scheme val="minor"/>
    </font>
    <font>
      <b/>
      <sz val="12"/>
      <color indexed="81"/>
      <name val="宋体"/>
      <family val="2"/>
      <scheme val="minor"/>
    </font>
    <font>
      <sz val="11"/>
      <name val="微软雅黑"/>
      <family val="2"/>
      <charset val="134"/>
    </font>
    <font>
      <b/>
      <sz val="11"/>
      <color theme="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2"/>
      <color theme="0"/>
      <name val="微软雅黑"/>
      <family val="2"/>
      <charset val="134"/>
    </font>
    <font>
      <sz val="12"/>
      <name val="微软雅黑"/>
      <family val="2"/>
      <charset val="134"/>
    </font>
    <font>
      <b/>
      <sz val="14"/>
      <color theme="0"/>
      <name val="微软雅黑"/>
      <family val="2"/>
      <charset val="134"/>
    </font>
    <font>
      <sz val="14"/>
      <name val="微软雅黑"/>
      <family val="2"/>
      <charset val="134"/>
    </font>
    <font>
      <b/>
      <sz val="14"/>
      <color rgb="FF3374B5"/>
      <name val="微软雅黑"/>
      <family val="2"/>
      <charset val="134"/>
    </font>
    <font>
      <b/>
      <sz val="14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b/>
      <sz val="11"/>
      <color rgb="FF3374B5"/>
      <name val="微软雅黑"/>
      <family val="2"/>
      <charset val="134"/>
    </font>
    <font>
      <b/>
      <sz val="24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sz val="11"/>
      <color rgb="FF3374B5"/>
      <name val="微软雅黑"/>
      <family val="2"/>
      <charset val="134"/>
    </font>
    <font>
      <b/>
      <sz val="20"/>
      <color theme="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6"/>
      <color theme="0"/>
      <name val="微软雅黑"/>
      <family val="2"/>
      <charset val="134"/>
    </font>
    <font>
      <sz val="14"/>
      <color rgb="FF3374B5"/>
      <name val="微软雅黑"/>
      <family val="2"/>
      <charset val="134"/>
    </font>
    <font>
      <b/>
      <sz val="20"/>
      <name val="微软雅黑"/>
      <family val="2"/>
      <charset val="134"/>
    </font>
    <font>
      <sz val="11"/>
      <color theme="0"/>
      <name val="微软雅黑"/>
      <family val="2"/>
      <charset val="134"/>
    </font>
    <font>
      <b/>
      <sz val="14"/>
      <color rgb="FF0070C0"/>
      <name val="微软雅黑"/>
      <family val="2"/>
      <charset val="134"/>
    </font>
    <font>
      <b/>
      <sz val="14"/>
      <color theme="2"/>
      <name val="微软雅黑"/>
      <family val="2"/>
      <charset val="134"/>
    </font>
    <font>
      <sz val="11"/>
      <color rgb="FF3374B5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rgb="FFFFFFFF"/>
      <name val="宋体"/>
      <family val="3"/>
      <charset val="134"/>
    </font>
    <font>
      <b/>
      <sz val="11"/>
      <color rgb="FFFFFFFF"/>
      <name val="Arial"/>
      <family val="2"/>
    </font>
    <font>
      <b/>
      <sz val="11"/>
      <color rgb="FFFFFFFF"/>
      <name val="Calibri"/>
      <family val="2"/>
    </font>
    <font>
      <b/>
      <sz val="10"/>
      <color theme="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1"/>
      <color rgb="FF3374B5"/>
      <name val="宋体"/>
      <family val="3"/>
      <charset val="134"/>
    </font>
    <font>
      <sz val="9"/>
      <color theme="4" tint="-0.249977111117893"/>
      <name val="宋体"/>
      <family val="3"/>
      <charset val="134"/>
    </font>
    <font>
      <sz val="11"/>
      <color rgb="FF3374B5"/>
      <name val="Arial"/>
      <family val="2"/>
    </font>
    <font>
      <sz val="9"/>
      <color rgb="FF3374B5"/>
      <name val="宋体"/>
      <family val="3"/>
      <charset val="134"/>
    </font>
    <font>
      <sz val="1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rgb="FF0070C0"/>
      <name val="宋体"/>
      <family val="3"/>
      <charset val="134"/>
    </font>
    <font>
      <sz val="11"/>
      <color theme="1"/>
      <name val="宋体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74B5"/>
        <bgColor indexed="64"/>
      </patternFill>
    </fill>
    <fill>
      <patternFill patternType="solid">
        <fgColor rgb="FF7AB51D"/>
        <bgColor indexed="64"/>
      </patternFill>
    </fill>
  </fills>
  <borders count="4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ott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ashed">
        <color auto="1"/>
      </right>
      <top style="dott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ott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4" borderId="1" applyNumberFormat="0" applyAlignment="0" applyProtection="0">
      <alignment vertical="center"/>
    </xf>
    <xf numFmtId="0" fontId="19" fillId="0" borderId="0">
      <alignment vertical="center"/>
    </xf>
    <xf numFmtId="0" fontId="20" fillId="0" borderId="0"/>
  </cellStyleXfs>
  <cellXfs count="297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Protection="1">
      <alignment vertical="center"/>
      <protection hidden="1"/>
    </xf>
    <xf numFmtId="180" fontId="12" fillId="0" borderId="0" xfId="0" applyNumberFormat="1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10" fillId="7" borderId="3" xfId="0" applyFont="1" applyFill="1" applyBorder="1" applyAlignment="1" applyProtection="1">
      <alignment horizontal="center" vertical="center"/>
      <protection hidden="1"/>
    </xf>
    <xf numFmtId="0" fontId="13" fillId="0" borderId="0" xfId="0" applyFont="1" applyProtection="1">
      <alignment vertical="center"/>
      <protection hidden="1"/>
    </xf>
    <xf numFmtId="0" fontId="12" fillId="0" borderId="11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Protection="1">
      <alignment vertical="center"/>
      <protection hidden="1"/>
    </xf>
    <xf numFmtId="0" fontId="13" fillId="0" borderId="0" xfId="0" applyFont="1" applyBorder="1" applyProtection="1">
      <alignment vertical="center"/>
      <protection hidden="1"/>
    </xf>
    <xf numFmtId="0" fontId="12" fillId="0" borderId="0" xfId="0" applyFont="1" applyBorder="1" applyProtection="1">
      <alignment vertical="center"/>
      <protection hidden="1"/>
    </xf>
    <xf numFmtId="0" fontId="17" fillId="0" borderId="10" xfId="0" applyFont="1" applyBorder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31" fillId="0" borderId="0" xfId="0" applyFont="1">
      <alignment vertical="center"/>
    </xf>
    <xf numFmtId="180" fontId="0" fillId="0" borderId="0" xfId="0" applyNumberFormat="1">
      <alignment vertical="center"/>
    </xf>
    <xf numFmtId="0" fontId="32" fillId="9" borderId="3" xfId="0" applyFont="1" applyFill="1" applyBorder="1" applyAlignment="1" applyProtection="1">
      <alignment horizontal="center" vertical="center"/>
      <protection hidden="1"/>
    </xf>
    <xf numFmtId="0" fontId="32" fillId="9" borderId="4" xfId="0" applyFont="1" applyFill="1" applyBorder="1" applyAlignment="1" applyProtection="1">
      <alignment horizontal="center" vertical="center"/>
      <protection hidden="1"/>
    </xf>
    <xf numFmtId="181" fontId="31" fillId="0" borderId="5" xfId="0" applyNumberFormat="1" applyFont="1" applyBorder="1" applyAlignment="1" applyProtection="1">
      <alignment horizontal="center" vertical="center"/>
      <protection hidden="1"/>
    </xf>
    <xf numFmtId="181" fontId="31" fillId="0" borderId="6" xfId="0" applyNumberFormat="1" applyFont="1" applyBorder="1" applyAlignment="1" applyProtection="1">
      <alignment horizontal="center" vertical="center"/>
      <protection hidden="1"/>
    </xf>
    <xf numFmtId="10" fontId="31" fillId="0" borderId="5" xfId="0" applyNumberFormat="1" applyFont="1" applyBorder="1" applyAlignment="1" applyProtection="1">
      <alignment horizontal="center" vertical="center"/>
      <protection hidden="1"/>
    </xf>
    <xf numFmtId="10" fontId="31" fillId="0" borderId="6" xfId="0" applyNumberFormat="1" applyFont="1" applyBorder="1" applyAlignment="1" applyProtection="1">
      <alignment horizontal="center" vertical="center"/>
      <protection hidden="1"/>
    </xf>
    <xf numFmtId="0" fontId="32" fillId="9" borderId="5" xfId="0" applyFont="1" applyFill="1" applyBorder="1" applyAlignment="1" applyProtection="1">
      <alignment horizontal="center" vertical="center"/>
      <protection hidden="1"/>
    </xf>
    <xf numFmtId="0" fontId="32" fillId="9" borderId="6" xfId="0" applyFont="1" applyFill="1" applyBorder="1" applyAlignment="1" applyProtection="1">
      <alignment horizontal="center" vertical="center"/>
      <protection hidden="1"/>
    </xf>
    <xf numFmtId="0" fontId="36" fillId="8" borderId="14" xfId="3" applyNumberFormat="1" applyFont="1" applyFill="1" applyBorder="1" applyAlignment="1" applyProtection="1">
      <alignment horizontal="center" vertical="center"/>
      <protection locked="0"/>
    </xf>
    <xf numFmtId="178" fontId="36" fillId="8" borderId="14" xfId="3" applyNumberFormat="1" applyFont="1" applyFill="1" applyBorder="1" applyAlignment="1" applyProtection="1">
      <alignment horizontal="right" vertical="center"/>
      <protection locked="0"/>
    </xf>
    <xf numFmtId="3" fontId="36" fillId="8" borderId="14" xfId="3" applyNumberFormat="1" applyFont="1" applyFill="1" applyBorder="1" applyAlignment="1" applyProtection="1">
      <alignment horizontal="right" vertical="center"/>
      <protection locked="0"/>
    </xf>
    <xf numFmtId="10" fontId="36" fillId="8" borderId="14" xfId="2" applyNumberFormat="1" applyFont="1" applyFill="1" applyBorder="1" applyAlignment="1" applyProtection="1">
      <alignment horizontal="right" vertical="center"/>
      <protection locked="0"/>
    </xf>
    <xf numFmtId="0" fontId="29" fillId="0" borderId="0" xfId="0" applyFont="1" applyProtection="1">
      <alignment vertical="center"/>
      <protection hidden="1"/>
    </xf>
    <xf numFmtId="0" fontId="41" fillId="0" borderId="0" xfId="0" applyFont="1" applyAlignment="1" applyProtection="1">
      <alignment vertical="center"/>
      <protection hidden="1"/>
    </xf>
    <xf numFmtId="0" fontId="31" fillId="0" borderId="0" xfId="0" applyFont="1" applyProtection="1">
      <alignment vertical="center"/>
      <protection hidden="1"/>
    </xf>
    <xf numFmtId="182" fontId="29" fillId="0" borderId="0" xfId="0" applyNumberFormat="1" applyFont="1" applyAlignment="1" applyProtection="1">
      <alignment horizontal="center" vertical="center"/>
      <protection hidden="1"/>
    </xf>
    <xf numFmtId="0" fontId="40" fillId="0" borderId="16" xfId="0" applyFont="1" applyBorder="1" applyAlignment="1" applyProtection="1">
      <alignment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3" fillId="9" borderId="15" xfId="0" applyFont="1" applyFill="1" applyBorder="1" applyAlignment="1" applyProtection="1">
      <alignment horizontal="center" vertical="center"/>
      <protection hidden="1"/>
    </xf>
    <xf numFmtId="0" fontId="27" fillId="0" borderId="0" xfId="0" applyFont="1" applyProtection="1">
      <alignment vertical="center"/>
      <protection hidden="1"/>
    </xf>
    <xf numFmtId="10" fontId="44" fillId="0" borderId="0" xfId="0" applyNumberFormat="1" applyFont="1" applyBorder="1" applyProtection="1">
      <alignment vertical="center"/>
      <protection hidden="1"/>
    </xf>
    <xf numFmtId="10" fontId="29" fillId="0" borderId="0" xfId="0" applyNumberFormat="1" applyFont="1" applyProtection="1">
      <alignment vertical="center"/>
      <protection hidden="1"/>
    </xf>
    <xf numFmtId="10" fontId="27" fillId="0" borderId="0" xfId="0" applyNumberFormat="1" applyFont="1" applyProtection="1">
      <alignment vertical="center"/>
      <protection hidden="1"/>
    </xf>
    <xf numFmtId="10" fontId="46" fillId="8" borderId="14" xfId="2" applyNumberFormat="1" applyFont="1" applyFill="1" applyBorder="1" applyAlignment="1" applyProtection="1">
      <alignment horizontal="right" vertical="center"/>
      <protection locked="0"/>
    </xf>
    <xf numFmtId="178" fontId="46" fillId="8" borderId="14" xfId="3" applyNumberFormat="1" applyFont="1" applyFill="1" applyBorder="1" applyAlignment="1" applyProtection="1">
      <alignment horizontal="right" vertical="center"/>
      <protection locked="0"/>
    </xf>
    <xf numFmtId="3" fontId="46" fillId="8" borderId="14" xfId="3" applyNumberFormat="1" applyFont="1" applyFill="1" applyBorder="1" applyAlignment="1" applyProtection="1">
      <alignment horizontal="right" vertical="center"/>
      <protection locked="0"/>
    </xf>
    <xf numFmtId="0" fontId="29" fillId="0" borderId="2" xfId="0" applyFont="1" applyBorder="1" applyAlignment="1" applyProtection="1">
      <alignment horizontal="center" vertical="center"/>
      <protection hidden="1"/>
    </xf>
    <xf numFmtId="0" fontId="29" fillId="0" borderId="3" xfId="0" applyFont="1" applyBorder="1" applyAlignment="1" applyProtection="1">
      <alignment horizontal="center" vertical="center"/>
      <protection hidden="1"/>
    </xf>
    <xf numFmtId="0" fontId="29" fillId="0" borderId="4" xfId="0" applyFont="1" applyBorder="1" applyAlignment="1" applyProtection="1">
      <alignment horizontal="center" vertical="center"/>
      <protection hidden="1"/>
    </xf>
    <xf numFmtId="179" fontId="46" fillId="8" borderId="14" xfId="1" applyNumberFormat="1" applyFont="1" applyFill="1" applyBorder="1" applyAlignment="1" applyProtection="1">
      <alignment horizontal="right" vertical="center"/>
      <protection locked="0"/>
    </xf>
    <xf numFmtId="0" fontId="29" fillId="0" borderId="18" xfId="0" applyFont="1" applyBorder="1" applyAlignment="1" applyProtection="1">
      <alignment horizontal="center" vertical="center"/>
      <protection hidden="1"/>
    </xf>
    <xf numFmtId="0" fontId="29" fillId="0" borderId="5" xfId="0" applyFont="1" applyBorder="1" applyAlignment="1" applyProtection="1">
      <alignment horizontal="center" vertical="center"/>
      <protection hidden="1"/>
    </xf>
    <xf numFmtId="0" fontId="29" fillId="0" borderId="6" xfId="0" applyFont="1" applyBorder="1" applyAlignment="1" applyProtection="1">
      <alignment horizontal="center" vertical="center"/>
      <protection hidden="1"/>
    </xf>
    <xf numFmtId="0" fontId="32" fillId="9" borderId="14" xfId="0" applyFont="1" applyFill="1" applyBorder="1" applyAlignment="1" applyProtection="1">
      <alignment horizontal="center" vertical="center"/>
      <protection hidden="1"/>
    </xf>
    <xf numFmtId="9" fontId="32" fillId="9" borderId="14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>
      <alignment vertical="center"/>
    </xf>
    <xf numFmtId="178" fontId="41" fillId="0" borderId="15" xfId="0" applyNumberFormat="1" applyFont="1" applyFill="1" applyBorder="1" applyAlignment="1" applyProtection="1">
      <alignment horizontal="center" vertical="center"/>
      <protection hidden="1"/>
    </xf>
    <xf numFmtId="181" fontId="47" fillId="0" borderId="13" xfId="1" applyNumberFormat="1" applyFont="1" applyFill="1" applyBorder="1" applyAlignment="1" applyProtection="1">
      <alignment horizontal="center" vertical="top"/>
      <protection hidden="1"/>
    </xf>
    <xf numFmtId="10" fontId="47" fillId="0" borderId="13" xfId="0" applyNumberFormat="1" applyFont="1" applyFill="1" applyBorder="1" applyAlignment="1" applyProtection="1">
      <alignment horizontal="center" vertical="top"/>
      <protection hidden="1"/>
    </xf>
    <xf numFmtId="0" fontId="38" fillId="5" borderId="14" xfId="0" applyFont="1" applyFill="1" applyBorder="1" applyAlignment="1" applyProtection="1">
      <alignment horizontal="right" vertical="center"/>
      <protection locked="0"/>
    </xf>
    <xf numFmtId="9" fontId="30" fillId="5" borderId="14" xfId="2" applyFont="1" applyFill="1" applyBorder="1" applyAlignment="1" applyProtection="1">
      <alignment horizontal="right" vertical="center"/>
      <protection locked="0"/>
    </xf>
    <xf numFmtId="0" fontId="29" fillId="0" borderId="14" xfId="0" applyFont="1" applyBorder="1" applyProtection="1">
      <alignment vertical="center"/>
      <protection hidden="1"/>
    </xf>
    <xf numFmtId="0" fontId="48" fillId="9" borderId="14" xfId="0" applyFont="1" applyFill="1" applyBorder="1" applyProtection="1">
      <alignment vertical="center"/>
      <protection hidden="1"/>
    </xf>
    <xf numFmtId="0" fontId="48" fillId="9" borderId="29" xfId="0" applyFont="1" applyFill="1" applyBorder="1" applyProtection="1">
      <alignment vertical="center"/>
      <protection hidden="1"/>
    </xf>
    <xf numFmtId="0" fontId="31" fillId="0" borderId="13" xfId="0" applyFont="1" applyFill="1" applyBorder="1" applyProtection="1">
      <alignment vertical="center"/>
      <protection hidden="1"/>
    </xf>
    <xf numFmtId="0" fontId="29" fillId="0" borderId="13" xfId="0" applyFont="1" applyFill="1" applyBorder="1" applyProtection="1">
      <alignment vertical="center"/>
      <protection hidden="1"/>
    </xf>
    <xf numFmtId="0" fontId="29" fillId="0" borderId="13" xfId="0" applyFont="1" applyFill="1" applyBorder="1" applyAlignment="1" applyProtection="1">
      <alignment horizontal="center" vertical="center"/>
      <protection hidden="1"/>
    </xf>
    <xf numFmtId="0" fontId="42" fillId="8" borderId="14" xfId="0" applyFont="1" applyFill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left" vertical="center"/>
      <protection locked="0"/>
    </xf>
    <xf numFmtId="0" fontId="27" fillId="0" borderId="14" xfId="0" applyFont="1" applyBorder="1" applyAlignment="1" applyProtection="1">
      <alignment horizontal="left" vertical="center"/>
      <protection locked="0"/>
    </xf>
    <xf numFmtId="10" fontId="30" fillId="0" borderId="14" xfId="2" applyNumberFormat="1" applyFont="1" applyFill="1" applyBorder="1" applyAlignment="1" applyProtection="1">
      <alignment horizontal="right" vertical="center"/>
      <protection locked="0" hidden="1"/>
    </xf>
    <xf numFmtId="0" fontId="29" fillId="0" borderId="14" xfId="0" applyFont="1" applyBorder="1" applyProtection="1">
      <alignment vertical="center"/>
      <protection locked="0" hidden="1"/>
    </xf>
    <xf numFmtId="10" fontId="27" fillId="0" borderId="14" xfId="0" applyNumberFormat="1" applyFont="1" applyBorder="1" applyProtection="1">
      <alignment vertical="center"/>
      <protection locked="0" hidden="1"/>
    </xf>
    <xf numFmtId="0" fontId="28" fillId="10" borderId="20" xfId="0" applyFont="1" applyFill="1" applyBorder="1" applyAlignment="1" applyProtection="1">
      <alignment horizontal="centerContinuous" vertical="center"/>
      <protection locked="0" hidden="1"/>
    </xf>
    <xf numFmtId="0" fontId="34" fillId="10" borderId="21" xfId="0" applyFont="1" applyFill="1" applyBorder="1" applyAlignment="1" applyProtection="1">
      <alignment horizontal="centerContinuous" vertical="center"/>
      <protection locked="0" hidden="1"/>
    </xf>
    <xf numFmtId="0" fontId="34" fillId="10" borderId="22" xfId="0" applyFont="1" applyFill="1" applyBorder="1" applyAlignment="1" applyProtection="1">
      <alignment horizontal="centerContinuous" vertical="center"/>
      <protection locked="0" hidden="1"/>
    </xf>
    <xf numFmtId="0" fontId="34" fillId="6" borderId="14" xfId="0" applyFont="1" applyFill="1" applyBorder="1" applyAlignment="1" applyProtection="1">
      <alignment horizontal="left" vertical="center"/>
      <protection locked="0" hidden="1"/>
    </xf>
    <xf numFmtId="3" fontId="38" fillId="0" borderId="14" xfId="3" applyNumberFormat="1" applyFont="1" applyFill="1" applyBorder="1" applyAlignment="1" applyProtection="1">
      <alignment horizontal="right" vertical="center"/>
      <protection locked="0" hidden="1"/>
    </xf>
    <xf numFmtId="178" fontId="37" fillId="0" borderId="14" xfId="3" applyNumberFormat="1" applyFont="1" applyFill="1" applyBorder="1" applyAlignment="1" applyProtection="1">
      <alignment horizontal="right" vertical="center"/>
      <protection locked="0" hidden="1"/>
    </xf>
    <xf numFmtId="0" fontId="35" fillId="2" borderId="14" xfId="0" applyFont="1" applyFill="1" applyBorder="1" applyAlignment="1" applyProtection="1">
      <alignment horizontal="left" vertical="center"/>
      <protection locked="0" hidden="1"/>
    </xf>
    <xf numFmtId="3" fontId="30" fillId="0" borderId="14" xfId="3" applyNumberFormat="1" applyFont="1" applyFill="1" applyBorder="1" applyAlignment="1" applyProtection="1">
      <alignment horizontal="right" vertical="center"/>
      <protection locked="0" hidden="1"/>
    </xf>
    <xf numFmtId="43" fontId="35" fillId="0" borderId="14" xfId="1" applyFont="1" applyFill="1" applyBorder="1" applyAlignment="1" applyProtection="1">
      <alignment horizontal="right" vertical="center"/>
      <protection locked="0" hidden="1"/>
    </xf>
    <xf numFmtId="181" fontId="37" fillId="0" borderId="14" xfId="1" applyNumberFormat="1" applyFont="1" applyFill="1" applyBorder="1" applyAlignment="1" applyProtection="1">
      <alignment horizontal="right" vertical="center"/>
      <protection locked="0" hidden="1"/>
    </xf>
    <xf numFmtId="0" fontId="28" fillId="10" borderId="22" xfId="0" applyFont="1" applyFill="1" applyBorder="1" applyAlignment="1" applyProtection="1">
      <alignment horizontal="centerContinuous" vertical="center"/>
      <protection locked="0" hidden="1"/>
    </xf>
    <xf numFmtId="10" fontId="35" fillId="0" borderId="14" xfId="2" applyNumberFormat="1" applyFont="1" applyFill="1" applyBorder="1" applyAlignment="1" applyProtection="1">
      <alignment horizontal="right" vertical="center"/>
      <protection locked="0" hidden="1"/>
    </xf>
    <xf numFmtId="0" fontId="34" fillId="0" borderId="0" xfId="0" applyFont="1" applyFill="1" applyBorder="1" applyAlignment="1" applyProtection="1">
      <alignment horizontal="left" vertical="center"/>
      <protection locked="0" hidden="1"/>
    </xf>
    <xf numFmtId="178" fontId="37" fillId="0" borderId="0" xfId="3" applyNumberFormat="1" applyFont="1" applyFill="1" applyBorder="1" applyAlignment="1" applyProtection="1">
      <alignment horizontal="right" vertical="center"/>
      <protection locked="0" hidden="1"/>
    </xf>
    <xf numFmtId="179" fontId="35" fillId="0" borderId="14" xfId="1" applyNumberFormat="1" applyFont="1" applyFill="1" applyBorder="1" applyAlignment="1" applyProtection="1">
      <alignment horizontal="right" vertical="center"/>
      <protection locked="0" hidden="1"/>
    </xf>
    <xf numFmtId="9" fontId="35" fillId="0" borderId="14" xfId="2" applyFont="1" applyFill="1" applyBorder="1" applyAlignment="1" applyProtection="1">
      <alignment horizontal="right" vertical="center"/>
      <protection locked="0" hidden="1"/>
    </xf>
    <xf numFmtId="0" fontId="35" fillId="2" borderId="14" xfId="0" applyFont="1" applyFill="1" applyBorder="1" applyAlignment="1" applyProtection="1">
      <alignment vertical="center"/>
      <protection locked="0" hidden="1"/>
    </xf>
    <xf numFmtId="0" fontId="30" fillId="2" borderId="14" xfId="0" applyFont="1" applyFill="1" applyBorder="1" applyAlignment="1" applyProtection="1">
      <alignment horizontal="left" vertical="center"/>
      <protection locked="0" hidden="1"/>
    </xf>
    <xf numFmtId="0" fontId="28" fillId="10" borderId="22" xfId="0" applyFont="1" applyFill="1" applyBorder="1" applyAlignment="1" applyProtection="1">
      <alignment horizontal="center" vertical="center"/>
      <protection locked="0" hidden="1"/>
    </xf>
    <xf numFmtId="179" fontId="37" fillId="0" borderId="14" xfId="1" applyNumberFormat="1" applyFont="1" applyFill="1" applyBorder="1" applyAlignment="1" applyProtection="1">
      <alignment horizontal="right" vertical="center"/>
      <protection locked="0" hidden="1"/>
    </xf>
    <xf numFmtId="10" fontId="37" fillId="0" borderId="14" xfId="2" applyNumberFormat="1" applyFont="1" applyFill="1" applyBorder="1" applyAlignment="1" applyProtection="1">
      <alignment horizontal="right" vertical="center"/>
      <protection locked="0" hidden="1"/>
    </xf>
    <xf numFmtId="3" fontId="37" fillId="0" borderId="14" xfId="3" applyNumberFormat="1" applyFont="1" applyFill="1" applyBorder="1" applyAlignment="1" applyProtection="1">
      <alignment horizontal="right" vertical="center"/>
      <protection locked="0" hidden="1"/>
    </xf>
    <xf numFmtId="0" fontId="27" fillId="5" borderId="0" xfId="0" applyFont="1" applyFill="1" applyBorder="1" applyAlignment="1" applyProtection="1">
      <alignment horizontal="left" vertical="center"/>
      <protection locked="0" hidden="1"/>
    </xf>
    <xf numFmtId="178" fontId="39" fillId="5" borderId="0" xfId="3" applyNumberFormat="1" applyFont="1" applyFill="1" applyBorder="1" applyAlignment="1" applyProtection="1">
      <alignment horizontal="right" vertical="center"/>
      <protection locked="0" hidden="1"/>
    </xf>
    <xf numFmtId="0" fontId="35" fillId="5" borderId="0" xfId="0" applyFont="1" applyFill="1" applyBorder="1" applyAlignment="1" applyProtection="1">
      <alignment horizontal="left" vertical="center"/>
      <protection locked="0" hidden="1"/>
    </xf>
    <xf numFmtId="178" fontId="36" fillId="5" borderId="0" xfId="3" applyNumberFormat="1" applyFont="1" applyFill="1" applyBorder="1" applyAlignment="1" applyProtection="1">
      <alignment horizontal="right" vertical="center"/>
      <protection locked="0" hidden="1"/>
    </xf>
    <xf numFmtId="0" fontId="29" fillId="0" borderId="0" xfId="0" applyFont="1" applyBorder="1" applyProtection="1">
      <alignment vertical="center"/>
      <protection locked="0" hidden="1"/>
    </xf>
    <xf numFmtId="9" fontId="42" fillId="8" borderId="14" xfId="0" applyNumberFormat="1" applyFont="1" applyFill="1" applyBorder="1" applyAlignment="1" applyProtection="1">
      <alignment horizontal="center" vertical="center"/>
      <protection locked="0"/>
    </xf>
    <xf numFmtId="14" fontId="29" fillId="0" borderId="0" xfId="0" applyNumberFormat="1" applyFont="1" applyAlignment="1" applyProtection="1">
      <alignment horizontal="left" vertical="center"/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9" fillId="0" borderId="0" xfId="0" applyFont="1">
      <alignment vertical="center"/>
    </xf>
    <xf numFmtId="0" fontId="4" fillId="0" borderId="0" xfId="0" applyFont="1" applyProtection="1">
      <alignment vertical="center"/>
      <protection hidden="1"/>
    </xf>
    <xf numFmtId="0" fontId="49" fillId="2" borderId="14" xfId="0" applyFont="1" applyFill="1" applyBorder="1" applyAlignment="1" applyProtection="1">
      <alignment horizontal="left" vertical="center"/>
      <protection locked="0" hidden="1"/>
    </xf>
    <xf numFmtId="0" fontId="49" fillId="0" borderId="14" xfId="0" applyFont="1" applyBorder="1" applyProtection="1">
      <alignment vertical="center"/>
      <protection hidden="1"/>
    </xf>
    <xf numFmtId="176" fontId="49" fillId="8" borderId="14" xfId="1" applyNumberFormat="1" applyFont="1" applyFill="1" applyBorder="1" applyAlignment="1" applyProtection="1">
      <alignment horizontal="right" vertical="center"/>
      <protection locked="0"/>
    </xf>
    <xf numFmtId="0" fontId="35" fillId="0" borderId="14" xfId="0" applyFont="1" applyFill="1" applyBorder="1" applyAlignment="1" applyProtection="1">
      <alignment horizontal="left" vertical="center"/>
      <protection locked="0" hidden="1"/>
    </xf>
    <xf numFmtId="0" fontId="30" fillId="0" borderId="14" xfId="0" applyFont="1" applyBorder="1" applyProtection="1">
      <alignment vertical="center"/>
      <protection hidden="1"/>
    </xf>
    <xf numFmtId="177" fontId="36" fillId="8" borderId="14" xfId="3" applyNumberFormat="1" applyFont="1" applyFill="1" applyBorder="1" applyAlignment="1" applyProtection="1">
      <alignment horizontal="right" vertical="center"/>
      <protection locked="0"/>
    </xf>
    <xf numFmtId="0" fontId="29" fillId="0" borderId="14" xfId="0" applyFont="1" applyBorder="1" applyAlignment="1" applyProtection="1">
      <alignment horizontal="center" vertical="center"/>
      <protection hidden="1"/>
    </xf>
    <xf numFmtId="182" fontId="29" fillId="0" borderId="14" xfId="0" applyNumberFormat="1" applyFont="1" applyBorder="1" applyAlignment="1" applyProtection="1">
      <alignment horizontal="center" vertical="center"/>
      <protection hidden="1"/>
    </xf>
    <xf numFmtId="183" fontId="42" fillId="8" borderId="14" xfId="0" applyNumberFormat="1" applyFont="1" applyFill="1" applyBorder="1" applyAlignment="1" applyProtection="1">
      <alignment horizontal="center" vertical="center"/>
      <protection locked="0"/>
    </xf>
    <xf numFmtId="183" fontId="29" fillId="0" borderId="14" xfId="0" applyNumberFormat="1" applyFont="1" applyBorder="1" applyAlignment="1" applyProtection="1">
      <alignment horizontal="center" vertical="center"/>
      <protection hidden="1"/>
    </xf>
    <xf numFmtId="10" fontId="29" fillId="0" borderId="14" xfId="0" applyNumberFormat="1" applyFont="1" applyBorder="1" applyAlignment="1" applyProtection="1">
      <alignment horizontal="center" vertical="center"/>
      <protection hidden="1"/>
    </xf>
    <xf numFmtId="180" fontId="29" fillId="0" borderId="14" xfId="0" applyNumberFormat="1" applyFont="1" applyBorder="1" applyAlignment="1" applyProtection="1">
      <alignment horizontal="center" vertical="center"/>
      <protection hidden="1"/>
    </xf>
    <xf numFmtId="180" fontId="42" fillId="8" borderId="14" xfId="0" applyNumberFormat="1" applyFont="1" applyFill="1" applyBorder="1" applyAlignment="1" applyProtection="1">
      <alignment horizontal="center" vertical="center"/>
      <protection locked="0"/>
    </xf>
    <xf numFmtId="10" fontId="42" fillId="8" borderId="14" xfId="0" applyNumberFormat="1" applyFont="1" applyFill="1" applyBorder="1" applyAlignment="1" applyProtection="1">
      <alignment horizontal="center" vertical="center"/>
      <protection locked="0"/>
    </xf>
    <xf numFmtId="10" fontId="27" fillId="0" borderId="14" xfId="0" applyNumberFormat="1" applyFont="1" applyBorder="1" applyAlignment="1" applyProtection="1">
      <alignment horizontal="center" vertical="center"/>
      <protection hidden="1"/>
    </xf>
    <xf numFmtId="182" fontId="42" fillId="8" borderId="14" xfId="0" applyNumberFormat="1" applyFont="1" applyFill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left" vertical="center"/>
      <protection hidden="1"/>
    </xf>
    <xf numFmtId="178" fontId="29" fillId="0" borderId="14" xfId="0" applyNumberFormat="1" applyFont="1" applyBorder="1" applyAlignment="1" applyProtection="1">
      <alignment vertical="center"/>
      <protection locked="0"/>
    </xf>
    <xf numFmtId="176" fontId="29" fillId="0" borderId="14" xfId="0" applyNumberFormat="1" applyFont="1" applyBorder="1" applyAlignment="1" applyProtection="1">
      <alignment vertical="center"/>
      <protection locked="0"/>
    </xf>
    <xf numFmtId="184" fontId="29" fillId="0" borderId="14" xfId="0" applyNumberFormat="1" applyFont="1" applyBorder="1" applyAlignment="1" applyProtection="1">
      <alignment vertical="center"/>
      <protection locked="0"/>
    </xf>
    <xf numFmtId="185" fontId="29" fillId="0" borderId="14" xfId="0" applyNumberFormat="1" applyFont="1" applyBorder="1" applyAlignment="1" applyProtection="1">
      <alignment vertical="center"/>
      <protection locked="0"/>
    </xf>
    <xf numFmtId="0" fontId="50" fillId="6" borderId="14" xfId="0" applyFont="1" applyFill="1" applyBorder="1" applyAlignment="1" applyProtection="1">
      <alignment vertical="center"/>
      <protection locked="0" hidden="1"/>
    </xf>
    <xf numFmtId="0" fontId="49" fillId="8" borderId="14" xfId="0" applyFont="1" applyFill="1" applyBorder="1" applyProtection="1">
      <alignment vertical="center"/>
      <protection locked="0" hidden="1"/>
    </xf>
    <xf numFmtId="180" fontId="42" fillId="8" borderId="18" xfId="0" applyNumberFormat="1" applyFont="1" applyFill="1" applyBorder="1" applyAlignment="1" applyProtection="1">
      <alignment horizontal="center" vertical="center"/>
      <protection locked="0"/>
    </xf>
    <xf numFmtId="180" fontId="42" fillId="8" borderId="5" xfId="0" applyNumberFormat="1" applyFont="1" applyFill="1" applyBorder="1" applyAlignment="1" applyProtection="1">
      <alignment horizontal="center" vertical="center"/>
      <protection locked="0"/>
    </xf>
    <xf numFmtId="180" fontId="42" fillId="8" borderId="6" xfId="0" applyNumberFormat="1" applyFont="1" applyFill="1" applyBorder="1" applyAlignment="1" applyProtection="1">
      <alignment horizontal="center" vertical="center"/>
      <protection locked="0"/>
    </xf>
    <xf numFmtId="180" fontId="42" fillId="8" borderId="19" xfId="0" applyNumberFormat="1" applyFont="1" applyFill="1" applyBorder="1" applyAlignment="1" applyProtection="1">
      <alignment horizontal="center" vertical="center"/>
      <protection locked="0"/>
    </xf>
    <xf numFmtId="180" fontId="42" fillId="8" borderId="7" xfId="0" applyNumberFormat="1" applyFont="1" applyFill="1" applyBorder="1" applyAlignment="1" applyProtection="1">
      <alignment horizontal="center" vertical="center"/>
      <protection locked="0"/>
    </xf>
    <xf numFmtId="180" fontId="42" fillId="8" borderId="8" xfId="0" applyNumberFormat="1" applyFont="1" applyFill="1" applyBorder="1" applyAlignment="1" applyProtection="1">
      <alignment horizontal="center" vertical="center"/>
      <protection locked="0"/>
    </xf>
    <xf numFmtId="14" fontId="36" fillId="8" borderId="14" xfId="3" applyNumberFormat="1" applyFont="1" applyFill="1" applyBorder="1" applyAlignment="1" applyProtection="1">
      <alignment horizontal="right" vertical="center"/>
      <protection locked="0" hidden="1"/>
    </xf>
    <xf numFmtId="176" fontId="46" fillId="8" borderId="14" xfId="1" applyNumberFormat="1" applyFont="1" applyFill="1" applyBorder="1" applyAlignment="1" applyProtection="1">
      <alignment horizontal="right" vertical="center"/>
      <protection locked="0" hidden="1"/>
    </xf>
    <xf numFmtId="178" fontId="46" fillId="8" borderId="14" xfId="3" applyNumberFormat="1" applyFont="1" applyFill="1" applyBorder="1" applyAlignment="1" applyProtection="1">
      <alignment horizontal="right" vertical="center"/>
      <protection locked="0" hidden="1"/>
    </xf>
    <xf numFmtId="10" fontId="36" fillId="8" borderId="14" xfId="2" applyNumberFormat="1" applyFont="1" applyFill="1" applyBorder="1" applyAlignment="1" applyProtection="1">
      <alignment horizontal="right" vertical="center"/>
      <protection locked="0" hidden="1"/>
    </xf>
    <xf numFmtId="178" fontId="37" fillId="8" borderId="14" xfId="3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15" fillId="0" borderId="5" xfId="0" applyFont="1" applyBorder="1" applyProtection="1">
      <alignment vertical="center"/>
      <protection hidden="1"/>
    </xf>
    <xf numFmtId="180" fontId="12" fillId="0" borderId="5" xfId="0" applyNumberFormat="1" applyFont="1" applyBorder="1" applyProtection="1">
      <alignment vertical="center"/>
      <protection hidden="1"/>
    </xf>
    <xf numFmtId="180" fontId="12" fillId="0" borderId="6" xfId="0" applyNumberFormat="1" applyFont="1" applyBorder="1" applyProtection="1">
      <alignment vertical="center"/>
      <protection hidden="1"/>
    </xf>
    <xf numFmtId="0" fontId="12" fillId="0" borderId="19" xfId="0" applyFont="1" applyBorder="1" applyProtection="1">
      <alignment vertical="center"/>
      <protection hidden="1"/>
    </xf>
    <xf numFmtId="0" fontId="15" fillId="0" borderId="7" xfId="0" applyFont="1" applyBorder="1" applyProtection="1">
      <alignment vertical="center"/>
      <protection hidden="1"/>
    </xf>
    <xf numFmtId="180" fontId="12" fillId="0" borderId="7" xfId="0" applyNumberFormat="1" applyFont="1" applyBorder="1" applyProtection="1">
      <alignment vertical="center"/>
      <protection hidden="1"/>
    </xf>
    <xf numFmtId="180" fontId="12" fillId="0" borderId="8" xfId="0" applyNumberFormat="1" applyFont="1" applyBorder="1" applyProtection="1">
      <alignment vertical="center"/>
      <protection hidden="1"/>
    </xf>
    <xf numFmtId="0" fontId="9" fillId="0" borderId="18" xfId="0" applyFont="1" applyBorder="1" applyAlignment="1" applyProtection="1">
      <alignment horizontal="right" vertical="center"/>
      <protection hidden="1"/>
    </xf>
    <xf numFmtId="181" fontId="46" fillId="8" borderId="14" xfId="3" applyNumberFormat="1" applyFont="1" applyFill="1" applyBorder="1" applyAlignment="1" applyProtection="1">
      <alignment horizontal="right" vertical="center"/>
      <protection locked="0"/>
    </xf>
    <xf numFmtId="0" fontId="52" fillId="0" borderId="18" xfId="0" applyFont="1" applyBorder="1" applyProtection="1">
      <alignment vertical="center"/>
      <protection hidden="1"/>
    </xf>
    <xf numFmtId="186" fontId="12" fillId="0" borderId="0" xfId="0" applyNumberFormat="1" applyFont="1" applyBorder="1" applyProtection="1">
      <alignment vertical="center"/>
      <protection hidden="1"/>
    </xf>
    <xf numFmtId="0" fontId="53" fillId="9" borderId="2" xfId="0" applyFont="1" applyFill="1" applyBorder="1" applyProtection="1">
      <alignment vertical="center"/>
      <protection hidden="1"/>
    </xf>
    <xf numFmtId="0" fontId="54" fillId="9" borderId="3" xfId="0" applyFont="1" applyFill="1" applyBorder="1" applyAlignment="1" applyProtection="1">
      <alignment horizontal="center" vertical="center"/>
      <protection hidden="1"/>
    </xf>
    <xf numFmtId="180" fontId="54" fillId="9" borderId="3" xfId="0" applyNumberFormat="1" applyFont="1" applyFill="1" applyBorder="1" applyAlignment="1" applyProtection="1">
      <alignment horizontal="center" vertical="center"/>
      <protection hidden="1"/>
    </xf>
    <xf numFmtId="180" fontId="54" fillId="9" borderId="4" xfId="0" applyNumberFormat="1" applyFont="1" applyFill="1" applyBorder="1" applyAlignment="1" applyProtection="1">
      <alignment horizontal="center" vertical="center"/>
      <protection hidden="1"/>
    </xf>
    <xf numFmtId="0" fontId="56" fillId="7" borderId="9" xfId="0" applyFont="1" applyFill="1" applyBorder="1" applyProtection="1">
      <alignment vertical="center"/>
      <protection hidden="1"/>
    </xf>
    <xf numFmtId="187" fontId="13" fillId="0" borderId="5" xfId="0" applyNumberFormat="1" applyFont="1" applyBorder="1" applyProtection="1">
      <alignment vertical="center"/>
      <protection hidden="1"/>
    </xf>
    <xf numFmtId="187" fontId="12" fillId="0" borderId="5" xfId="0" applyNumberFormat="1" applyFont="1" applyBorder="1" applyProtection="1">
      <alignment vertical="center"/>
      <protection hidden="1"/>
    </xf>
    <xf numFmtId="187" fontId="13" fillId="5" borderId="5" xfId="0" applyNumberFormat="1" applyFont="1" applyFill="1" applyBorder="1" applyProtection="1">
      <alignment vertical="center"/>
      <protection hidden="1"/>
    </xf>
    <xf numFmtId="187" fontId="13" fillId="0" borderId="5" xfId="2" applyNumberFormat="1" applyFont="1" applyBorder="1" applyProtection="1">
      <alignment vertical="center"/>
      <protection hidden="1"/>
    </xf>
    <xf numFmtId="187" fontId="13" fillId="0" borderId="7" xfId="0" applyNumberFormat="1" applyFont="1" applyBorder="1" applyProtection="1">
      <alignment vertical="center"/>
      <protection hidden="1"/>
    </xf>
    <xf numFmtId="187" fontId="12" fillId="0" borderId="7" xfId="0" applyNumberFormat="1" applyFont="1" applyBorder="1" applyProtection="1">
      <alignment vertical="center"/>
      <protection hidden="1"/>
    </xf>
    <xf numFmtId="0" fontId="58" fillId="0" borderId="10" xfId="0" applyFont="1" applyBorder="1" applyAlignment="1" applyProtection="1">
      <alignment vertical="center"/>
      <protection hidden="1"/>
    </xf>
    <xf numFmtId="0" fontId="17" fillId="0" borderId="10" xfId="0" applyFont="1" applyBorder="1" applyAlignment="1" applyProtection="1">
      <alignment vertical="center"/>
      <protection hidden="1"/>
    </xf>
    <xf numFmtId="0" fontId="60" fillId="0" borderId="10" xfId="0" applyFont="1" applyBorder="1" applyAlignment="1" applyProtection="1">
      <alignment vertical="center"/>
      <protection hidden="1"/>
    </xf>
    <xf numFmtId="187" fontId="11" fillId="5" borderId="5" xfId="0" applyNumberFormat="1" applyFont="1" applyFill="1" applyBorder="1" applyProtection="1">
      <alignment vertical="center"/>
      <protection hidden="1"/>
    </xf>
    <xf numFmtId="0" fontId="10" fillId="7" borderId="32" xfId="0" applyFont="1" applyFill="1" applyBorder="1" applyAlignment="1" applyProtection="1">
      <alignment horizontal="center" vertical="center"/>
      <protection hidden="1"/>
    </xf>
    <xf numFmtId="0" fontId="17" fillId="0" borderId="17" xfId="0" applyFont="1" applyBorder="1" applyProtection="1">
      <alignment vertical="center"/>
      <protection hidden="1"/>
    </xf>
    <xf numFmtId="0" fontId="12" fillId="0" borderId="17" xfId="0" applyFont="1" applyBorder="1" applyProtection="1">
      <alignment vertical="center"/>
      <protection hidden="1"/>
    </xf>
    <xf numFmtId="0" fontId="15" fillId="0" borderId="17" xfId="0" applyFont="1" applyBorder="1" applyProtection="1">
      <alignment vertical="center"/>
      <protection hidden="1"/>
    </xf>
    <xf numFmtId="188" fontId="12" fillId="0" borderId="17" xfId="0" applyNumberFormat="1" applyFont="1" applyBorder="1" applyProtection="1">
      <alignment vertical="center"/>
      <protection hidden="1"/>
    </xf>
    <xf numFmtId="188" fontId="12" fillId="0" borderId="17" xfId="0" applyNumberFormat="1" applyFont="1" applyFill="1" applyBorder="1" applyProtection="1">
      <alignment vertical="center"/>
      <protection hidden="1"/>
    </xf>
    <xf numFmtId="188" fontId="15" fillId="0" borderId="17" xfId="0" applyNumberFormat="1" applyFont="1" applyBorder="1" applyProtection="1">
      <alignment vertical="center"/>
      <protection hidden="1"/>
    </xf>
    <xf numFmtId="0" fontId="59" fillId="0" borderId="17" xfId="0" applyFont="1" applyBorder="1" applyProtection="1">
      <alignment vertical="center"/>
      <protection hidden="1"/>
    </xf>
    <xf numFmtId="0" fontId="51" fillId="0" borderId="17" xfId="0" applyFont="1" applyBorder="1" applyProtection="1">
      <alignment vertical="center"/>
      <protection hidden="1"/>
    </xf>
    <xf numFmtId="0" fontId="61" fillId="0" borderId="17" xfId="0" applyFont="1" applyBorder="1" applyProtection="1">
      <alignment vertical="center"/>
      <protection hidden="1"/>
    </xf>
    <xf numFmtId="0" fontId="62" fillId="0" borderId="17" xfId="0" applyFont="1" applyBorder="1" applyProtection="1">
      <alignment vertical="center"/>
      <protection hidden="1"/>
    </xf>
    <xf numFmtId="0" fontId="58" fillId="0" borderId="17" xfId="0" applyFont="1" applyBorder="1" applyProtection="1">
      <alignment vertical="center"/>
      <protection hidden="1"/>
    </xf>
    <xf numFmtId="0" fontId="57" fillId="0" borderId="17" xfId="0" applyFont="1" applyBorder="1" applyProtection="1">
      <alignment vertical="center"/>
      <protection hidden="1"/>
    </xf>
    <xf numFmtId="186" fontId="15" fillId="0" borderId="17" xfId="0" applyNumberFormat="1" applyFont="1" applyBorder="1" applyProtection="1">
      <alignment vertical="center"/>
      <protection hidden="1"/>
    </xf>
    <xf numFmtId="186" fontId="12" fillId="0" borderId="17" xfId="0" applyNumberFormat="1" applyFont="1" applyBorder="1" applyProtection="1">
      <alignment vertical="center"/>
      <protection hidden="1"/>
    </xf>
    <xf numFmtId="186" fontId="11" fillId="0" borderId="17" xfId="0" applyNumberFormat="1" applyFont="1" applyBorder="1" applyProtection="1">
      <alignment vertical="center"/>
      <protection hidden="1"/>
    </xf>
    <xf numFmtId="177" fontId="30" fillId="8" borderId="14" xfId="3" applyNumberFormat="1" applyFont="1" applyFill="1" applyBorder="1" applyAlignment="1" applyProtection="1">
      <alignment horizontal="right" vertical="center"/>
      <protection locked="0"/>
    </xf>
    <xf numFmtId="10" fontId="38" fillId="8" borderId="14" xfId="2" applyNumberFormat="1" applyFont="1" applyFill="1" applyBorder="1" applyAlignment="1" applyProtection="1">
      <alignment horizontal="right" vertical="center"/>
      <protection locked="0" hidden="1"/>
    </xf>
    <xf numFmtId="0" fontId="9" fillId="0" borderId="0" xfId="0" applyFont="1" applyBorder="1" applyAlignment="1" applyProtection="1">
      <alignment horizontal="center" vertical="center"/>
      <protection hidden="1"/>
    </xf>
    <xf numFmtId="186" fontId="13" fillId="0" borderId="0" xfId="0" applyNumberFormat="1" applyFont="1" applyBorder="1" applyProtection="1">
      <alignment vertical="center"/>
      <protection hidden="1"/>
    </xf>
    <xf numFmtId="0" fontId="64" fillId="0" borderId="0" xfId="0" applyFont="1" applyProtection="1">
      <alignment vertical="center"/>
      <protection hidden="1"/>
    </xf>
    <xf numFmtId="0" fontId="64" fillId="0" borderId="0" xfId="0" applyFont="1" applyBorder="1" applyProtection="1">
      <alignment vertical="center"/>
      <protection hidden="1"/>
    </xf>
    <xf numFmtId="188" fontId="11" fillId="0" borderId="17" xfId="0" applyNumberFormat="1" applyFont="1" applyBorder="1" applyProtection="1">
      <alignment vertical="center"/>
      <protection hidden="1"/>
    </xf>
    <xf numFmtId="0" fontId="56" fillId="7" borderId="12" xfId="0" applyFont="1" applyFill="1" applyBorder="1" applyProtection="1">
      <alignment vertical="center"/>
      <protection hidden="1"/>
    </xf>
    <xf numFmtId="0" fontId="10" fillId="7" borderId="33" xfId="0" applyFont="1" applyFill="1" applyBorder="1" applyAlignment="1" applyProtection="1">
      <alignment horizontal="center" vertical="center"/>
      <protection hidden="1"/>
    </xf>
    <xf numFmtId="0" fontId="57" fillId="0" borderId="17" xfId="0" applyFont="1" applyBorder="1" applyAlignment="1" applyProtection="1">
      <alignment horizontal="right" vertical="center"/>
      <protection hidden="1"/>
    </xf>
    <xf numFmtId="0" fontId="57" fillId="0" borderId="17" xfId="0" applyFont="1" applyBorder="1" applyAlignment="1" applyProtection="1">
      <alignment horizontal="left" vertical="center"/>
      <protection hidden="1"/>
    </xf>
    <xf numFmtId="1" fontId="11" fillId="0" borderId="17" xfId="0" applyNumberFormat="1" applyFont="1" applyBorder="1" applyProtection="1">
      <alignment vertical="center"/>
      <protection hidden="1"/>
    </xf>
    <xf numFmtId="0" fontId="11" fillId="0" borderId="17" xfId="0" applyFont="1" applyBorder="1" applyProtection="1">
      <alignment vertical="center"/>
      <protection hidden="1"/>
    </xf>
    <xf numFmtId="0" fontId="20" fillId="0" borderId="17" xfId="0" applyFont="1" applyBorder="1" applyProtection="1">
      <alignment vertical="center"/>
      <protection hidden="1"/>
    </xf>
    <xf numFmtId="0" fontId="63" fillId="0" borderId="17" xfId="0" applyFont="1" applyBorder="1" applyProtection="1">
      <alignment vertical="center"/>
      <protection hidden="1"/>
    </xf>
    <xf numFmtId="0" fontId="63" fillId="0" borderId="17" xfId="0" applyFont="1" applyBorder="1" applyAlignment="1" applyProtection="1">
      <alignment horizontal="right" vertical="center"/>
      <protection hidden="1"/>
    </xf>
    <xf numFmtId="188" fontId="20" fillId="0" borderId="17" xfId="0" applyNumberFormat="1" applyFont="1" applyBorder="1" applyProtection="1">
      <alignment vertical="center"/>
      <protection hidden="1"/>
    </xf>
    <xf numFmtId="1" fontId="20" fillId="0" borderId="17" xfId="0" applyNumberFormat="1" applyFont="1" applyBorder="1" applyProtection="1">
      <alignment vertical="center"/>
      <protection hidden="1"/>
    </xf>
    <xf numFmtId="188" fontId="61" fillId="0" borderId="17" xfId="0" applyNumberFormat="1" applyFont="1" applyBorder="1" applyProtection="1">
      <alignment vertical="center"/>
      <protection hidden="1"/>
    </xf>
    <xf numFmtId="0" fontId="51" fillId="0" borderId="34" xfId="0" applyFont="1" applyBorder="1" applyProtection="1">
      <alignment vertical="center"/>
      <protection hidden="1"/>
    </xf>
    <xf numFmtId="0" fontId="58" fillId="0" borderId="17" xfId="0" applyFont="1" applyBorder="1" applyAlignment="1" applyProtection="1">
      <alignment horizontal="right" vertical="center"/>
      <protection hidden="1"/>
    </xf>
    <xf numFmtId="1" fontId="61" fillId="0" borderId="34" xfId="0" applyNumberFormat="1" applyFont="1" applyBorder="1" applyProtection="1">
      <alignment vertical="center"/>
      <protection hidden="1"/>
    </xf>
    <xf numFmtId="186" fontId="61" fillId="0" borderId="17" xfId="0" applyNumberFormat="1" applyFont="1" applyBorder="1" applyProtection="1">
      <alignment vertical="center"/>
      <protection hidden="1"/>
    </xf>
    <xf numFmtId="1" fontId="61" fillId="0" borderId="17" xfId="0" applyNumberFormat="1" applyFont="1" applyBorder="1" applyProtection="1">
      <alignment vertical="center"/>
      <protection hidden="1"/>
    </xf>
    <xf numFmtId="0" fontId="30" fillId="8" borderId="14" xfId="0" applyFont="1" applyFill="1" applyBorder="1" applyProtection="1">
      <alignment vertical="center"/>
      <protection locked="0" hidden="1"/>
    </xf>
    <xf numFmtId="3" fontId="35" fillId="0" borderId="14" xfId="3" applyNumberFormat="1" applyFont="1" applyFill="1" applyBorder="1" applyAlignment="1" applyProtection="1">
      <alignment horizontal="right" vertical="center"/>
    </xf>
    <xf numFmtId="9" fontId="46" fillId="8" borderId="14" xfId="2" applyNumberFormat="1" applyFont="1" applyFill="1" applyBorder="1" applyAlignment="1" applyProtection="1">
      <alignment horizontal="right" vertical="center"/>
      <protection locked="0"/>
    </xf>
    <xf numFmtId="186" fontId="61" fillId="0" borderId="5" xfId="0" applyNumberFormat="1" applyFont="1" applyBorder="1" applyProtection="1">
      <alignment vertical="center"/>
      <protection hidden="1"/>
    </xf>
    <xf numFmtId="0" fontId="54" fillId="7" borderId="35" xfId="0" applyFont="1" applyFill="1" applyBorder="1" applyProtection="1">
      <alignment vertical="center"/>
      <protection hidden="1"/>
    </xf>
    <xf numFmtId="0" fontId="54" fillId="7" borderId="36" xfId="0" applyFont="1" applyFill="1" applyBorder="1" applyAlignment="1" applyProtection="1">
      <alignment horizontal="center" vertical="center"/>
      <protection hidden="1"/>
    </xf>
    <xf numFmtId="0" fontId="54" fillId="7" borderId="37" xfId="0" applyFont="1" applyFill="1" applyBorder="1" applyAlignment="1" applyProtection="1">
      <alignment horizontal="center" vertical="center"/>
      <protection hidden="1"/>
    </xf>
    <xf numFmtId="0" fontId="14" fillId="0" borderId="38" xfId="0" applyFont="1" applyBorder="1" applyProtection="1">
      <alignment vertical="center"/>
      <protection hidden="1"/>
    </xf>
    <xf numFmtId="186" fontId="12" fillId="0" borderId="39" xfId="0" applyNumberFormat="1" applyFont="1" applyBorder="1" applyProtection="1">
      <alignment vertical="center"/>
      <protection hidden="1"/>
    </xf>
    <xf numFmtId="186" fontId="12" fillId="0" borderId="40" xfId="0" applyNumberFormat="1" applyFont="1" applyBorder="1" applyProtection="1">
      <alignment vertical="center"/>
      <protection hidden="1"/>
    </xf>
    <xf numFmtId="0" fontId="12" fillId="0" borderId="38" xfId="0" applyFont="1" applyBorder="1" applyAlignment="1" applyProtection="1">
      <alignment vertical="center"/>
      <protection hidden="1"/>
    </xf>
    <xf numFmtId="186" fontId="13" fillId="0" borderId="39" xfId="1" applyNumberFormat="1" applyFont="1" applyBorder="1" applyProtection="1">
      <alignment vertical="center"/>
      <protection hidden="1"/>
    </xf>
    <xf numFmtId="0" fontId="9" fillId="0" borderId="38" xfId="0" applyFont="1" applyBorder="1" applyAlignment="1" applyProtection="1">
      <alignment vertical="center"/>
      <protection hidden="1"/>
    </xf>
    <xf numFmtId="10" fontId="12" fillId="0" borderId="39" xfId="2" applyNumberFormat="1" applyFont="1" applyBorder="1" applyProtection="1">
      <alignment vertical="center"/>
      <protection hidden="1"/>
    </xf>
    <xf numFmtId="10" fontId="12" fillId="0" borderId="39" xfId="0" applyNumberFormat="1" applyFont="1" applyBorder="1" applyProtection="1">
      <alignment vertical="center"/>
      <protection hidden="1"/>
    </xf>
    <xf numFmtId="10" fontId="12" fillId="0" borderId="40" xfId="0" applyNumberFormat="1" applyFont="1" applyBorder="1" applyProtection="1">
      <alignment vertical="center"/>
      <protection hidden="1"/>
    </xf>
    <xf numFmtId="186" fontId="12" fillId="0" borderId="39" xfId="1" applyNumberFormat="1" applyFont="1" applyBorder="1" applyProtection="1">
      <alignment vertical="center"/>
      <protection hidden="1"/>
    </xf>
    <xf numFmtId="186" fontId="12" fillId="0" borderId="40" xfId="1" applyNumberFormat="1" applyFont="1" applyBorder="1" applyProtection="1">
      <alignment vertical="center"/>
      <protection hidden="1"/>
    </xf>
    <xf numFmtId="0" fontId="2" fillId="0" borderId="38" xfId="0" applyFont="1" applyBorder="1" applyAlignment="1" applyProtection="1">
      <alignment horizontal="right" vertical="center"/>
      <protection hidden="1"/>
    </xf>
    <xf numFmtId="0" fontId="58" fillId="0" borderId="38" xfId="0" applyFont="1" applyBorder="1" applyAlignment="1" applyProtection="1">
      <alignment horizontal="right" vertical="center"/>
      <protection hidden="1"/>
    </xf>
    <xf numFmtId="186" fontId="13" fillId="0" borderId="39" xfId="0" applyNumberFormat="1" applyFont="1" applyBorder="1" applyProtection="1">
      <alignment vertical="center"/>
      <protection hidden="1"/>
    </xf>
    <xf numFmtId="0" fontId="9" fillId="0" borderId="38" xfId="0" applyFont="1" applyBorder="1" applyProtection="1">
      <alignment vertical="center"/>
      <protection hidden="1"/>
    </xf>
    <xf numFmtId="186" fontId="12" fillId="0" borderId="39" xfId="0" applyNumberFormat="1" applyFont="1" applyFill="1" applyBorder="1" applyProtection="1">
      <alignment vertical="center"/>
      <protection hidden="1"/>
    </xf>
    <xf numFmtId="186" fontId="12" fillId="0" borderId="40" xfId="0" applyNumberFormat="1" applyFont="1" applyFill="1" applyBorder="1" applyProtection="1">
      <alignment vertical="center"/>
      <protection hidden="1"/>
    </xf>
    <xf numFmtId="0" fontId="58" fillId="0" borderId="38" xfId="0" applyFont="1" applyBorder="1" applyAlignment="1" applyProtection="1">
      <alignment horizontal="right" vertical="center" wrapText="1"/>
      <protection hidden="1"/>
    </xf>
    <xf numFmtId="186" fontId="13" fillId="0" borderId="39" xfId="2" applyNumberFormat="1" applyFont="1" applyBorder="1" applyProtection="1">
      <alignment vertical="center"/>
      <protection hidden="1"/>
    </xf>
    <xf numFmtId="186" fontId="12" fillId="0" borderId="39" xfId="2" applyNumberFormat="1" applyFont="1" applyBorder="1" applyProtection="1">
      <alignment vertical="center"/>
      <protection hidden="1"/>
    </xf>
    <xf numFmtId="186" fontId="12" fillId="0" borderId="40" xfId="2" applyNumberFormat="1" applyFont="1" applyBorder="1" applyProtection="1">
      <alignment vertical="center"/>
      <protection hidden="1"/>
    </xf>
    <xf numFmtId="0" fontId="9" fillId="0" borderId="38" xfId="0" applyFont="1" applyBorder="1" applyAlignment="1" applyProtection="1">
      <alignment horizontal="left" vertical="center" indent="1"/>
      <protection hidden="1"/>
    </xf>
    <xf numFmtId="0" fontId="9" fillId="0" borderId="41" xfId="0" applyFont="1" applyBorder="1" applyAlignment="1" applyProtection="1">
      <alignment horizontal="center" vertical="center"/>
      <protection hidden="1"/>
    </xf>
    <xf numFmtId="186" fontId="13" fillId="0" borderId="42" xfId="0" applyNumberFormat="1" applyFont="1" applyBorder="1" applyProtection="1">
      <alignment vertical="center"/>
      <protection hidden="1"/>
    </xf>
    <xf numFmtId="186" fontId="12" fillId="0" borderId="42" xfId="0" applyNumberFormat="1" applyFont="1" applyBorder="1" applyProtection="1">
      <alignment vertical="center"/>
      <protection hidden="1"/>
    </xf>
    <xf numFmtId="186" fontId="12" fillId="0" borderId="43" xfId="0" applyNumberFormat="1" applyFont="1" applyBorder="1" applyProtection="1">
      <alignment vertical="center"/>
      <protection hidden="1"/>
    </xf>
    <xf numFmtId="0" fontId="56" fillId="7" borderId="32" xfId="0" applyFont="1" applyFill="1" applyBorder="1" applyProtection="1">
      <alignment vertical="center"/>
      <protection hidden="1"/>
    </xf>
    <xf numFmtId="186" fontId="51" fillId="0" borderId="17" xfId="0" applyNumberFormat="1" applyFont="1" applyBorder="1" applyProtection="1">
      <alignment vertical="center"/>
      <protection hidden="1"/>
    </xf>
    <xf numFmtId="186" fontId="12" fillId="0" borderId="0" xfId="0" applyNumberFormat="1" applyFont="1" applyProtection="1">
      <alignment vertical="center"/>
      <protection hidden="1"/>
    </xf>
    <xf numFmtId="1" fontId="12" fillId="0" borderId="0" xfId="0" applyNumberFormat="1" applyFont="1" applyProtection="1">
      <alignment vertical="center"/>
      <protection hidden="1"/>
    </xf>
    <xf numFmtId="10" fontId="61" fillId="0" borderId="17" xfId="0" applyNumberFormat="1" applyFont="1" applyBorder="1" applyProtection="1">
      <alignment vertical="center"/>
      <protection hidden="1"/>
    </xf>
    <xf numFmtId="179" fontId="30" fillId="8" borderId="14" xfId="1" applyNumberFormat="1" applyFont="1" applyFill="1" applyBorder="1" applyAlignment="1" applyProtection="1">
      <alignment horizontal="right" vertical="center"/>
      <protection locked="0" hidden="1"/>
    </xf>
    <xf numFmtId="189" fontId="47" fillId="0" borderId="13" xfId="0" applyNumberFormat="1" applyFont="1" applyFill="1" applyBorder="1" applyAlignment="1" applyProtection="1">
      <alignment horizontal="center" vertical="top"/>
      <protection hidden="1"/>
    </xf>
    <xf numFmtId="191" fontId="12" fillId="0" borderId="39" xfId="0" applyNumberFormat="1" applyFont="1" applyBorder="1" applyProtection="1">
      <alignment vertical="center"/>
      <protection hidden="1"/>
    </xf>
    <xf numFmtId="191" fontId="12" fillId="0" borderId="40" xfId="0" applyNumberFormat="1" applyFont="1" applyBorder="1" applyProtection="1">
      <alignment vertical="center"/>
      <protection hidden="1"/>
    </xf>
    <xf numFmtId="185" fontId="47" fillId="0" borderId="13" xfId="0" applyNumberFormat="1" applyFont="1" applyFill="1" applyBorder="1" applyAlignment="1" applyProtection="1">
      <alignment horizontal="center" vertical="top"/>
      <protection hidden="1"/>
    </xf>
    <xf numFmtId="0" fontId="67" fillId="0" borderId="17" xfId="0" applyFont="1" applyBorder="1" applyProtection="1">
      <alignment vertical="center"/>
      <protection hidden="1"/>
    </xf>
    <xf numFmtId="190" fontId="41" fillId="0" borderId="15" xfId="0" applyNumberFormat="1" applyFont="1" applyFill="1" applyBorder="1" applyAlignment="1" applyProtection="1">
      <alignment horizontal="center" vertical="center"/>
      <protection hidden="1"/>
    </xf>
    <xf numFmtId="0" fontId="29" fillId="0" borderId="14" xfId="0" applyFont="1" applyBorder="1" applyAlignment="1" applyProtection="1">
      <alignment horizontal="center" vertical="center" wrapText="1"/>
      <protection hidden="1"/>
    </xf>
    <xf numFmtId="190" fontId="13" fillId="0" borderId="39" xfId="1" applyNumberFormat="1" applyFont="1" applyBorder="1" applyProtection="1">
      <alignment vertical="center"/>
      <protection hidden="1"/>
    </xf>
    <xf numFmtId="10" fontId="35" fillId="0" borderId="14" xfId="2" applyNumberFormat="1" applyFont="1" applyFill="1" applyBorder="1" applyAlignment="1" applyProtection="1">
      <alignment horizontal="right" vertical="center"/>
      <protection hidden="1"/>
    </xf>
    <xf numFmtId="0" fontId="30" fillId="0" borderId="14" xfId="0" applyFont="1" applyBorder="1" applyProtection="1">
      <alignment vertical="center"/>
      <protection locked="0" hidden="1"/>
    </xf>
    <xf numFmtId="0" fontId="0" fillId="0" borderId="0" xfId="0" applyAlignment="1">
      <alignment horizontal="left" vertical="center"/>
    </xf>
    <xf numFmtId="0" fontId="29" fillId="0" borderId="23" xfId="0" applyFont="1" applyBorder="1" applyAlignment="1" applyProtection="1">
      <alignment horizontal="left" vertical="center"/>
      <protection locked="0"/>
    </xf>
    <xf numFmtId="0" fontId="29" fillId="0" borderId="25" xfId="0" applyFont="1" applyBorder="1" applyAlignment="1" applyProtection="1">
      <alignment horizontal="left" vertical="center"/>
      <protection locked="0"/>
    </xf>
    <xf numFmtId="0" fontId="48" fillId="9" borderId="30" xfId="0" applyFont="1" applyFill="1" applyBorder="1" applyAlignment="1" applyProtection="1">
      <alignment horizontal="center" vertical="center"/>
      <protection hidden="1"/>
    </xf>
    <xf numFmtId="0" fontId="48" fillId="9" borderId="31" xfId="0" applyFont="1" applyFill="1" applyBorder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34" fillId="9" borderId="23" xfId="0" applyFont="1" applyFill="1" applyBorder="1" applyAlignment="1" applyProtection="1">
      <alignment horizontal="center" vertical="center"/>
      <protection locked="0" hidden="1"/>
    </xf>
    <xf numFmtId="0" fontId="34" fillId="9" borderId="24" xfId="0" applyFont="1" applyFill="1" applyBorder="1" applyAlignment="1" applyProtection="1">
      <alignment horizontal="center" vertical="center"/>
      <protection locked="0" hidden="1"/>
    </xf>
    <xf numFmtId="0" fontId="34" fillId="9" borderId="25" xfId="0" applyFont="1" applyFill="1" applyBorder="1" applyAlignment="1" applyProtection="1">
      <alignment horizontal="center" vertical="center"/>
      <protection locked="0" hidden="1"/>
    </xf>
    <xf numFmtId="0" fontId="45" fillId="9" borderId="26" xfId="0" applyFont="1" applyFill="1" applyBorder="1" applyAlignment="1" applyProtection="1">
      <alignment horizontal="center" vertical="center"/>
      <protection locked="0" hidden="1"/>
    </xf>
    <xf numFmtId="0" fontId="45" fillId="9" borderId="27" xfId="0" applyFont="1" applyFill="1" applyBorder="1" applyAlignment="1" applyProtection="1">
      <alignment horizontal="center" vertical="center"/>
      <protection locked="0" hidden="1"/>
    </xf>
    <xf numFmtId="0" fontId="45" fillId="9" borderId="28" xfId="0" applyFont="1" applyFill="1" applyBorder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left" vertical="center"/>
      <protection hidden="1"/>
    </xf>
    <xf numFmtId="0" fontId="7" fillId="9" borderId="0" xfId="0" applyFont="1" applyFill="1" applyAlignment="1">
      <alignment horizontal="center" vertical="center"/>
    </xf>
    <xf numFmtId="181" fontId="31" fillId="0" borderId="7" xfId="0" applyNumberFormat="1" applyFont="1" applyBorder="1" applyAlignment="1" applyProtection="1">
      <alignment horizontal="center" vertical="center"/>
      <protection hidden="1"/>
    </xf>
    <xf numFmtId="0" fontId="31" fillId="0" borderId="8" xfId="0" applyFont="1" applyBorder="1" applyAlignment="1" applyProtection="1">
      <alignment horizontal="center" vertical="center"/>
      <protection hidden="1"/>
    </xf>
    <xf numFmtId="0" fontId="33" fillId="0" borderId="18" xfId="0" applyFont="1" applyBorder="1" applyAlignment="1" applyProtection="1">
      <alignment horizontal="center" vertical="center"/>
      <protection hidden="1"/>
    </xf>
    <xf numFmtId="0" fontId="33" fillId="0" borderId="5" xfId="0" applyFont="1" applyBorder="1" applyAlignment="1" applyProtection="1">
      <alignment horizontal="center" vertical="center"/>
      <protection hidden="1"/>
    </xf>
    <xf numFmtId="181" fontId="31" fillId="0" borderId="5" xfId="0" applyNumberFormat="1" applyFont="1" applyBorder="1" applyAlignment="1" applyProtection="1">
      <alignment horizontal="center" vertical="center"/>
      <protection hidden="1"/>
    </xf>
    <xf numFmtId="0" fontId="31" fillId="0" borderId="5" xfId="0" applyFont="1" applyBorder="1" applyAlignment="1" applyProtection="1">
      <alignment horizontal="center" vertical="center"/>
      <protection hidden="1"/>
    </xf>
    <xf numFmtId="0" fontId="31" fillId="0" borderId="6" xfId="0" applyFont="1" applyBorder="1" applyAlignment="1" applyProtection="1">
      <alignment horizontal="center" vertical="center"/>
      <protection hidden="1"/>
    </xf>
    <xf numFmtId="0" fontId="33" fillId="0" borderId="19" xfId="0" applyFont="1" applyBorder="1" applyAlignment="1" applyProtection="1">
      <alignment horizontal="center" vertical="center"/>
      <protection hidden="1"/>
    </xf>
    <xf numFmtId="0" fontId="33" fillId="0" borderId="7" xfId="0" applyFont="1" applyBorder="1" applyAlignment="1" applyProtection="1">
      <alignment horizontal="center" vertical="center"/>
      <protection hidden="1"/>
    </xf>
    <xf numFmtId="0" fontId="31" fillId="0" borderId="7" xfId="0" applyFont="1" applyBorder="1" applyAlignment="1" applyProtection="1">
      <alignment horizontal="center" vertical="center"/>
      <protection hidden="1"/>
    </xf>
    <xf numFmtId="181" fontId="32" fillId="10" borderId="5" xfId="0" applyNumberFormat="1" applyFont="1" applyFill="1" applyBorder="1" applyAlignment="1" applyProtection="1">
      <alignment horizontal="center" vertical="center"/>
      <protection hidden="1"/>
    </xf>
    <xf numFmtId="0" fontId="32" fillId="10" borderId="6" xfId="0" applyFont="1" applyFill="1" applyBorder="1" applyAlignment="1" applyProtection="1">
      <alignment horizontal="center" vertical="center"/>
      <protection hidden="1"/>
    </xf>
    <xf numFmtId="0" fontId="32" fillId="10" borderId="18" xfId="0" applyFont="1" applyFill="1" applyBorder="1" applyAlignment="1" applyProtection="1">
      <alignment horizontal="center" vertical="center"/>
      <protection hidden="1"/>
    </xf>
    <xf numFmtId="0" fontId="32" fillId="10" borderId="5" xfId="0" applyFont="1" applyFill="1" applyBorder="1" applyAlignment="1" applyProtection="1">
      <alignment horizontal="center" vertical="center"/>
      <protection hidden="1"/>
    </xf>
    <xf numFmtId="0" fontId="31" fillId="0" borderId="7" xfId="0" applyFont="1" applyBorder="1" applyAlignment="1" applyProtection="1">
      <alignment horizontal="left" vertical="center"/>
      <protection hidden="1"/>
    </xf>
    <xf numFmtId="0" fontId="31" fillId="0" borderId="8" xfId="0" applyFont="1" applyBorder="1" applyAlignment="1" applyProtection="1">
      <alignment horizontal="left" vertical="center"/>
      <protection hidden="1"/>
    </xf>
    <xf numFmtId="0" fontId="32" fillId="9" borderId="2" xfId="0" applyFont="1" applyFill="1" applyBorder="1" applyAlignment="1" applyProtection="1">
      <alignment horizontal="center" vertical="center"/>
      <protection hidden="1"/>
    </xf>
    <xf numFmtId="0" fontId="32" fillId="9" borderId="3" xfId="0" applyFont="1" applyFill="1" applyBorder="1" applyAlignment="1" applyProtection="1">
      <alignment horizontal="center" vertical="center"/>
      <protection hidden="1"/>
    </xf>
    <xf numFmtId="0" fontId="32" fillId="9" borderId="4" xfId="0" applyFont="1" applyFill="1" applyBorder="1" applyAlignment="1" applyProtection="1">
      <alignment horizontal="center" vertical="center"/>
      <protection hidden="1"/>
    </xf>
    <xf numFmtId="0" fontId="31" fillId="0" borderId="18" xfId="0" applyFont="1" applyBorder="1" applyAlignment="1" applyProtection="1">
      <alignment horizontal="left" vertical="center"/>
      <protection hidden="1"/>
    </xf>
    <xf numFmtId="0" fontId="31" fillId="0" borderId="5" xfId="0" applyFont="1" applyBorder="1" applyAlignment="1" applyProtection="1">
      <alignment horizontal="left" vertical="center"/>
      <protection hidden="1"/>
    </xf>
    <xf numFmtId="0" fontId="31" fillId="0" borderId="19" xfId="0" applyFont="1" applyBorder="1" applyAlignment="1" applyProtection="1">
      <alignment horizontal="center" vertical="center"/>
      <protection hidden="1"/>
    </xf>
    <xf numFmtId="0" fontId="32" fillId="9" borderId="18" xfId="0" applyFont="1" applyFill="1" applyBorder="1" applyAlignment="1" applyProtection="1">
      <alignment horizontal="left" vertical="center"/>
      <protection hidden="1"/>
    </xf>
    <xf numFmtId="0" fontId="32" fillId="9" borderId="5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center" vertical="center"/>
    </xf>
  </cellXfs>
  <cellStyles count="6">
    <cellStyle name="Normal 12" xfId="5"/>
    <cellStyle name="百分比" xfId="2" builtinId="5"/>
    <cellStyle name="常规" xfId="0" builtinId="0"/>
    <cellStyle name="常规 2" xfId="4"/>
    <cellStyle name="千位分隔" xfId="1" builtinId="3"/>
    <cellStyle name="输出" xfId="3" builtinId="21"/>
  </cellStyles>
  <dxfs count="9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3374B5"/>
      <color rgb="FFFFFFFF"/>
      <color rgb="FF7AB51D"/>
      <color rgb="FFFFFFCC"/>
      <color rgb="FF33CC33"/>
      <color rgb="FF0033CC"/>
      <color rgb="FF669900"/>
      <color rgb="FFFFFF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资本金现金流量</c:v>
          </c:tx>
          <c:invertIfNegative val="0"/>
          <c:trendline>
            <c:trendlineType val="log"/>
            <c:dispRSqr val="0"/>
            <c:dispEq val="1"/>
            <c:trendlineLbl>
              <c:layout/>
              <c:numFmt formatCode="General" sourceLinked="0"/>
            </c:trendlineLbl>
          </c:trendline>
          <c:cat>
            <c:numRef>
              <c:f>'C01'!$B$60:$V$60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'C01'!$B$73:$V$73</c:f>
              <c:numCache>
                <c:formatCode>0_ ;[Red]\-0\ </c:formatCode>
                <c:ptCount val="21"/>
                <c:pt idx="0">
                  <c:v>-4928.3999999999996</c:v>
                </c:pt>
                <c:pt idx="1">
                  <c:v>-36.960010342500482</c:v>
                </c:pt>
                <c:pt idx="2">
                  <c:v>2614.4402754592588</c:v>
                </c:pt>
                <c:pt idx="3">
                  <c:v>1020.2855740724845</c:v>
                </c:pt>
                <c:pt idx="4">
                  <c:v>979.63393580746788</c:v>
                </c:pt>
                <c:pt idx="5">
                  <c:v>918.79972953599463</c:v>
                </c:pt>
                <c:pt idx="6">
                  <c:v>293.71540320190252</c:v>
                </c:pt>
                <c:pt idx="7">
                  <c:v>252.70539945449809</c:v>
                </c:pt>
                <c:pt idx="8">
                  <c:v>210.65406410441892</c:v>
                </c:pt>
                <c:pt idx="9">
                  <c:v>167.51116050481869</c:v>
                </c:pt>
                <c:pt idx="10">
                  <c:v>123.22392098737691</c:v>
                </c:pt>
                <c:pt idx="11">
                  <c:v>72.43008661229851</c:v>
                </c:pt>
                <c:pt idx="12">
                  <c:v>27.940968579055607</c:v>
                </c:pt>
                <c:pt idx="13">
                  <c:v>-17.867320615359858</c:v>
                </c:pt>
                <c:pt idx="14">
                  <c:v>-65.059054866274892</c:v>
                </c:pt>
                <c:pt idx="15">
                  <c:v>-113.7017675490647</c:v>
                </c:pt>
                <c:pt idx="16">
                  <c:v>-171.48942105864262</c:v>
                </c:pt>
                <c:pt idx="17">
                  <c:v>1726.3971328073112</c:v>
                </c:pt>
                <c:pt idx="18">
                  <c:v>1699.2325954855833</c:v>
                </c:pt>
                <c:pt idx="19">
                  <c:v>1671.726857457242</c:v>
                </c:pt>
                <c:pt idx="20">
                  <c:v>4373.5430012148227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40256"/>
        <c:axId val="98641792"/>
      </c:barChart>
      <c:catAx>
        <c:axId val="98640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crossAx val="98641792"/>
        <c:crosses val="autoZero"/>
        <c:auto val="1"/>
        <c:lblAlgn val="ctr"/>
        <c:lblOffset val="100"/>
        <c:noMultiLvlLbl val="0"/>
      </c:catAx>
      <c:valAx>
        <c:axId val="98641792"/>
        <c:scaling>
          <c:orientation val="minMax"/>
        </c:scaling>
        <c:delete val="0"/>
        <c:axPos val="l"/>
        <c:majorGridlines/>
        <c:numFmt formatCode="0_ ;[Red]\-0\ " sourceLinked="1"/>
        <c:majorTickMark val="out"/>
        <c:minorTickMark val="none"/>
        <c:tickLblPos val="nextTo"/>
        <c:spPr>
          <a:ln cap="sq"/>
        </c:spPr>
        <c:crossAx val="98640256"/>
        <c:crosses val="autoZero"/>
        <c:crossBetween val="between"/>
      </c:valAx>
      <c:spPr>
        <a:ln cap="sq"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/>
              <a:t>投资单价敏感性分析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资本金内部收益率</c:v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测算模型!$M$4:$Q$4</c:f>
              <c:numCache>
                <c:formatCode>0.00_ </c:formatCode>
                <c:ptCount val="5"/>
                <c:pt idx="0">
                  <c:v>7.3926000000000007</c:v>
                </c:pt>
                <c:pt idx="1">
                  <c:v>7.8033000000000001</c:v>
                </c:pt>
                <c:pt idx="2" formatCode="0.00_);[Red]\(0.00\)">
                  <c:v>8.2140000000000004</c:v>
                </c:pt>
                <c:pt idx="3" formatCode="0.00_);[Red]\(0.00\)">
                  <c:v>8.6247000000000007</c:v>
                </c:pt>
                <c:pt idx="4" formatCode="0.00_);[Red]\(0.00\)">
                  <c:v>9.035400000000001</c:v>
                </c:pt>
              </c:numCache>
            </c:numRef>
          </c:cat>
          <c:val>
            <c:numRef>
              <c:f>测算模型!$M$5:$Q$5</c:f>
              <c:numCache>
                <c:formatCode>0.00%</c:formatCode>
                <c:ptCount val="5"/>
                <c:pt idx="0">
                  <c:v>0.19829126506994976</c:v>
                </c:pt>
                <c:pt idx="1">
                  <c:v>0.16663044613811806</c:v>
                </c:pt>
                <c:pt idx="2">
                  <c:v>0.1386427222654083</c:v>
                </c:pt>
                <c:pt idx="3">
                  <c:v>0.11380148992359951</c:v>
                </c:pt>
                <c:pt idx="4">
                  <c:v>9.1961156508572728E-2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61728"/>
        <c:axId val="46895872"/>
      </c:lineChart>
      <c:catAx>
        <c:axId val="34761728"/>
        <c:scaling>
          <c:orientation val="minMax"/>
        </c:scaling>
        <c:delete val="0"/>
        <c:axPos val="b"/>
        <c:numFmt formatCode="0.00_ " sourceLinked="1"/>
        <c:majorTickMark val="none"/>
        <c:minorTickMark val="none"/>
        <c:tickLblPos val="nextTo"/>
        <c:crossAx val="46895872"/>
        <c:crosses val="autoZero"/>
        <c:auto val="1"/>
        <c:lblAlgn val="ctr"/>
        <c:lblOffset val="100"/>
        <c:noMultiLvlLbl val="0"/>
      </c:catAx>
      <c:valAx>
        <c:axId val="46895872"/>
        <c:scaling>
          <c:orientation val="minMax"/>
          <c:max val="0.2"/>
          <c:min val="8.0000000000000016E-2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34761728"/>
        <c:crosses val="autoZero"/>
        <c:crossBetween val="between"/>
        <c:majorUnit val="2.0000000000000011E-2"/>
        <c:minorUnit val="2.0000000000000011E-2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solidFill>
        <a:srgbClr val="7AB51D"/>
      </a:solidFill>
    </a:ln>
  </c:spPr>
  <c:txPr>
    <a:bodyPr/>
    <a:lstStyle/>
    <a:p>
      <a:pPr>
        <a:defRPr sz="1200">
          <a:latin typeface="微软雅黑" pitchFamily="34" charset="-122"/>
          <a:ea typeface="微软雅黑" pitchFamily="34" charset="-122"/>
        </a:defRPr>
      </a:pPr>
      <a:endParaRPr lang="zh-CN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/>
              <a:t>发电小时敏感性分析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资本金内部收益率</c:v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测算模型!$M$8:$Q$8</c:f>
              <c:numCache>
                <c:formatCode>0_ </c:formatCode>
                <c:ptCount val="5"/>
                <c:pt idx="0">
                  <c:v>1060.5862575000001</c:v>
                </c:pt>
                <c:pt idx="1">
                  <c:v>1119.5077162499999</c:v>
                </c:pt>
                <c:pt idx="2">
                  <c:v>1178.429175</c:v>
                </c:pt>
                <c:pt idx="3">
                  <c:v>1237.35063375</c:v>
                </c:pt>
                <c:pt idx="4">
                  <c:v>1296.2720925000001</c:v>
                </c:pt>
              </c:numCache>
            </c:numRef>
          </c:cat>
          <c:val>
            <c:numRef>
              <c:f>测算模型!$M$7:$Q$7</c:f>
              <c:numCache>
                <c:formatCode>0.00%</c:formatCode>
                <c:ptCount val="5"/>
                <c:pt idx="0">
                  <c:v>7.7703215117559177E-2</c:v>
                </c:pt>
                <c:pt idx="1">
                  <c:v>0.10746266655790238</c:v>
                </c:pt>
                <c:pt idx="2">
                  <c:v>0.1386427222654083</c:v>
                </c:pt>
                <c:pt idx="3">
                  <c:v>0.17039469191702783</c:v>
                </c:pt>
                <c:pt idx="4">
                  <c:v>0.20248767489613062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14496"/>
        <c:axId val="98316288"/>
      </c:lineChart>
      <c:catAx>
        <c:axId val="98314496"/>
        <c:scaling>
          <c:orientation val="minMax"/>
        </c:scaling>
        <c:delete val="0"/>
        <c:axPos val="b"/>
        <c:numFmt formatCode="0_ " sourceLinked="1"/>
        <c:majorTickMark val="none"/>
        <c:minorTickMark val="none"/>
        <c:tickLblPos val="nextTo"/>
        <c:crossAx val="98316288"/>
        <c:crosses val="autoZero"/>
        <c:auto val="1"/>
        <c:lblAlgn val="ctr"/>
        <c:lblOffset val="100"/>
        <c:noMultiLvlLbl val="0"/>
      </c:catAx>
      <c:valAx>
        <c:axId val="98316288"/>
        <c:scaling>
          <c:orientation val="minMax"/>
          <c:max val="0.21000000000000002"/>
          <c:min val="7.0000000000000007E-2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98314496"/>
        <c:crosses val="autoZero"/>
        <c:crossBetween val="between"/>
        <c:majorUnit val="2.0000000000000011E-2"/>
        <c:minorUnit val="2.0000000000000011E-2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solidFill>
        <a:srgbClr val="7AB51D"/>
      </a:solidFill>
    </a:ln>
  </c:spPr>
  <c:txPr>
    <a:bodyPr/>
    <a:lstStyle/>
    <a:p>
      <a:pPr>
        <a:defRPr sz="1200">
          <a:latin typeface="微软雅黑" pitchFamily="34" charset="-122"/>
          <a:ea typeface="微软雅黑" pitchFamily="34" charset="-122"/>
        </a:defRPr>
      </a:pPr>
      <a:endParaRPr lang="zh-CN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zh-CN" sz="1400"/>
              <a:t>各因素对资本金</a:t>
            </a:r>
            <a:r>
              <a:rPr lang="en-US" sz="1400"/>
              <a:t>IRR</a:t>
            </a:r>
            <a:r>
              <a:rPr lang="zh-CN" sz="1400"/>
              <a:t>敏感性分析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测算模型!$L$4</c:f>
              <c:strCache>
                <c:ptCount val="1"/>
                <c:pt idx="0">
                  <c:v>投资单价</c:v>
                </c:pt>
              </c:strCache>
            </c:strRef>
          </c:tx>
          <c:cat>
            <c:numRef>
              <c:f>测算模型!$M$3:$Q$3</c:f>
              <c:numCache>
                <c:formatCode>0%</c:formatCode>
                <c:ptCount val="5"/>
                <c:pt idx="0">
                  <c:v>-0.1</c:v>
                </c:pt>
                <c:pt idx="1">
                  <c:v>-0.05</c:v>
                </c:pt>
                <c:pt idx="2" formatCode="General">
                  <c:v>0</c:v>
                </c:pt>
                <c:pt idx="3">
                  <c:v>0.05</c:v>
                </c:pt>
                <c:pt idx="4">
                  <c:v>0.1</c:v>
                </c:pt>
              </c:numCache>
            </c:numRef>
          </c:cat>
          <c:val>
            <c:numRef>
              <c:f>测算模型!$M$5:$Q$5</c:f>
              <c:numCache>
                <c:formatCode>0.00%</c:formatCode>
                <c:ptCount val="5"/>
                <c:pt idx="0">
                  <c:v>0.19829126506994976</c:v>
                </c:pt>
                <c:pt idx="1">
                  <c:v>0.16663044613811806</c:v>
                </c:pt>
                <c:pt idx="2">
                  <c:v>0.1386427222654083</c:v>
                </c:pt>
                <c:pt idx="3">
                  <c:v>0.11380148992359951</c:v>
                </c:pt>
                <c:pt idx="4">
                  <c:v>9.1961156508572728E-2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测算模型!$L$8</c:f>
              <c:strCache>
                <c:ptCount val="1"/>
                <c:pt idx="0">
                  <c:v>首年有效利用小时</c:v>
                </c:pt>
              </c:strCache>
            </c:strRef>
          </c:tx>
          <c:cat>
            <c:numRef>
              <c:f>测算模型!$M$3:$Q$3</c:f>
              <c:numCache>
                <c:formatCode>0%</c:formatCode>
                <c:ptCount val="5"/>
                <c:pt idx="0">
                  <c:v>-0.1</c:v>
                </c:pt>
                <c:pt idx="1">
                  <c:v>-0.05</c:v>
                </c:pt>
                <c:pt idx="2" formatCode="General">
                  <c:v>0</c:v>
                </c:pt>
                <c:pt idx="3">
                  <c:v>0.05</c:v>
                </c:pt>
                <c:pt idx="4">
                  <c:v>0.1</c:v>
                </c:pt>
              </c:numCache>
            </c:numRef>
          </c:cat>
          <c:val>
            <c:numRef>
              <c:f>测算模型!$M$7:$Q$7</c:f>
              <c:numCache>
                <c:formatCode>0.00%</c:formatCode>
                <c:ptCount val="5"/>
                <c:pt idx="0">
                  <c:v>7.7703215117559177E-2</c:v>
                </c:pt>
                <c:pt idx="1">
                  <c:v>0.10746266655790238</c:v>
                </c:pt>
                <c:pt idx="2">
                  <c:v>0.1386427222654083</c:v>
                </c:pt>
                <c:pt idx="3">
                  <c:v>0.17039469191702783</c:v>
                </c:pt>
                <c:pt idx="4">
                  <c:v>0.20248767489613062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测算模型!$L$9</c:f>
              <c:strCache>
                <c:ptCount val="1"/>
                <c:pt idx="0">
                  <c:v>利率</c:v>
                </c:pt>
              </c:strCache>
            </c:strRef>
          </c:tx>
          <c:cat>
            <c:numRef>
              <c:f>测算模型!$M$3:$Q$3</c:f>
              <c:numCache>
                <c:formatCode>0%</c:formatCode>
                <c:ptCount val="5"/>
                <c:pt idx="0">
                  <c:v>-0.1</c:v>
                </c:pt>
                <c:pt idx="1">
                  <c:v>-0.05</c:v>
                </c:pt>
                <c:pt idx="2" formatCode="General">
                  <c:v>0</c:v>
                </c:pt>
                <c:pt idx="3">
                  <c:v>0.05</c:v>
                </c:pt>
                <c:pt idx="4">
                  <c:v>0.1</c:v>
                </c:pt>
              </c:numCache>
            </c:numRef>
          </c:cat>
          <c:val>
            <c:numRef>
              <c:f>测算模型!$M$10:$Q$10</c:f>
              <c:numCache>
                <c:formatCode>0.00%</c:formatCode>
                <c:ptCount val="5"/>
                <c:pt idx="0">
                  <c:v>0.15479232195594217</c:v>
                </c:pt>
                <c:pt idx="1">
                  <c:v>0.1466884714964094</c:v>
                </c:pt>
                <c:pt idx="2">
                  <c:v>0.1386427222654083</c:v>
                </c:pt>
                <c:pt idx="3">
                  <c:v>0.1306680808489431</c:v>
                </c:pt>
                <c:pt idx="4">
                  <c:v>0.12277774963585375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测算模型!$L$11</c:f>
              <c:strCache>
                <c:ptCount val="1"/>
                <c:pt idx="0">
                  <c:v>首年运营维护成本</c:v>
                </c:pt>
              </c:strCache>
            </c:strRef>
          </c:tx>
          <c:cat>
            <c:numRef>
              <c:f>测算模型!$M$3:$Q$3</c:f>
              <c:numCache>
                <c:formatCode>0%</c:formatCode>
                <c:ptCount val="5"/>
                <c:pt idx="0">
                  <c:v>-0.1</c:v>
                </c:pt>
                <c:pt idx="1">
                  <c:v>-0.05</c:v>
                </c:pt>
                <c:pt idx="2" formatCode="General">
                  <c:v>0</c:v>
                </c:pt>
                <c:pt idx="3">
                  <c:v>0.05</c:v>
                </c:pt>
                <c:pt idx="4">
                  <c:v>0.1</c:v>
                </c:pt>
              </c:numCache>
            </c:numRef>
          </c:cat>
          <c:val>
            <c:numRef>
              <c:f>测算模型!$M$12:$Q$12</c:f>
              <c:numCache>
                <c:formatCode>0.00%</c:formatCode>
                <c:ptCount val="5"/>
                <c:pt idx="0">
                  <c:v>0.14693562921986625</c:v>
                </c:pt>
                <c:pt idx="1">
                  <c:v>0.142796263265484</c:v>
                </c:pt>
                <c:pt idx="2">
                  <c:v>0.1386427222654083</c:v>
                </c:pt>
                <c:pt idx="3">
                  <c:v>0.13447536091262813</c:v>
                </c:pt>
                <c:pt idx="4">
                  <c:v>0.13029458369557001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44320"/>
        <c:axId val="98354304"/>
      </c:lineChart>
      <c:catAx>
        <c:axId val="98344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crossAx val="98354304"/>
        <c:crosses val="autoZero"/>
        <c:auto val="1"/>
        <c:lblAlgn val="ctr"/>
        <c:lblOffset val="100"/>
        <c:noMultiLvlLbl val="0"/>
      </c:catAx>
      <c:valAx>
        <c:axId val="98354304"/>
        <c:scaling>
          <c:orientation val="minMax"/>
          <c:max val="0.21000000000000002"/>
          <c:min val="7.0000000000000007E-2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98344320"/>
        <c:crosses val="autoZero"/>
        <c:crossBetween val="between"/>
        <c:majorUnit val="2.0000000000000011E-2"/>
        <c:minorUnit val="2.0000000000000011E-2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solidFill>
        <a:srgbClr val="7AB51D"/>
      </a:solidFill>
    </a:ln>
  </c:spPr>
  <c:txPr>
    <a:bodyPr/>
    <a:lstStyle/>
    <a:p>
      <a:pPr>
        <a:defRPr sz="1200">
          <a:latin typeface="微软雅黑" pitchFamily="34" charset="-122"/>
          <a:ea typeface="微软雅黑" pitchFamily="34" charset="-122"/>
        </a:defRPr>
      </a:pPr>
      <a:endParaRPr lang="zh-CN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zh-CN" sz="1400"/>
              <a:t>综合电价敏感性分析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测算模型!$L$15</c:f>
              <c:strCache>
                <c:ptCount val="1"/>
                <c:pt idx="0">
                  <c:v>光伏标杆上网电价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测算模型!$M$15:$Q$15</c:f>
              <c:numCache>
                <c:formatCode>0.00_ </c:formatCode>
                <c:ptCount val="5"/>
                <c:pt idx="0">
                  <c:v>0.95604</c:v>
                </c:pt>
                <c:pt idx="1">
                  <c:v>0.97802</c:v>
                </c:pt>
                <c:pt idx="2">
                  <c:v>1</c:v>
                </c:pt>
                <c:pt idx="3">
                  <c:v>1.0219800000000001</c:v>
                </c:pt>
                <c:pt idx="4">
                  <c:v>1.04396</c:v>
                </c:pt>
              </c:numCache>
            </c:numRef>
          </c:cat>
          <c:val>
            <c:numRef>
              <c:f>测算模型!$M$14:$Q$14</c:f>
              <c:numCache>
                <c:formatCode>0.00%</c:formatCode>
                <c:ptCount val="5"/>
                <c:pt idx="0">
                  <c:v>0.13737356124182254</c:v>
                </c:pt>
                <c:pt idx="1">
                  <c:v>0.13800480084939104</c:v>
                </c:pt>
                <c:pt idx="2">
                  <c:v>0.1386427222654083</c:v>
                </c:pt>
                <c:pt idx="3">
                  <c:v>0.13928743788611042</c:v>
                </c:pt>
                <c:pt idx="4">
                  <c:v>0.13993906264854905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76320"/>
        <c:axId val="98386304"/>
      </c:lineChart>
      <c:catAx>
        <c:axId val="98376320"/>
        <c:scaling>
          <c:orientation val="minMax"/>
        </c:scaling>
        <c:delete val="0"/>
        <c:axPos val="b"/>
        <c:numFmt formatCode="0.00_ " sourceLinked="1"/>
        <c:majorTickMark val="none"/>
        <c:minorTickMark val="none"/>
        <c:tickLblPos val="nextTo"/>
        <c:crossAx val="98386304"/>
        <c:crosses val="autoZero"/>
        <c:auto val="1"/>
        <c:lblAlgn val="ctr"/>
        <c:lblOffset val="100"/>
        <c:noMultiLvlLbl val="0"/>
      </c:catAx>
      <c:valAx>
        <c:axId val="98386304"/>
        <c:scaling>
          <c:orientation val="minMax"/>
          <c:max val="0.16"/>
          <c:min val="8.0000000000000043E-2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98376320"/>
        <c:crosses val="autoZero"/>
        <c:crossBetween val="between"/>
        <c:majorUnit val="2.0000000000000011E-2"/>
        <c:minorUnit val="2.0000000000000011E-2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solidFill>
        <a:srgbClr val="7AB51D"/>
      </a:solidFill>
    </a:ln>
  </c:spPr>
  <c:txPr>
    <a:bodyPr/>
    <a:lstStyle/>
    <a:p>
      <a:pPr>
        <a:defRPr sz="1200">
          <a:latin typeface="微软雅黑" pitchFamily="34" charset="-122"/>
          <a:ea typeface="微软雅黑" pitchFamily="34" charset="-122"/>
        </a:defRPr>
      </a:pPr>
      <a:endParaRPr lang="zh-CN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132670</xdr:colOff>
      <xdr:row>1</xdr:row>
      <xdr:rowOff>204106</xdr:rowOff>
    </xdr:from>
    <xdr:to>
      <xdr:col>1</xdr:col>
      <xdr:colOff>1749137</xdr:colOff>
      <xdr:row>3</xdr:row>
      <xdr:rowOff>202756</xdr:rowOff>
    </xdr:to>
    <xdr:pic>
      <xdr:nvPicPr>
        <xdr:cNvPr id="3" name="Picture 2" descr="http://www.gcl-power.com/images/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1988" y="204106"/>
          <a:ext cx="1616467" cy="745806"/>
        </a:xfrm>
        <a:prstGeom prst="rect">
          <a:avLst/>
        </a:prstGeom>
        <a:noFill/>
      </xdr:spPr>
    </xdr:pic>
    <xdr:clientData/>
  </xdr:twoCellAnchor>
  <xdr:twoCellAnchor>
    <xdr:from>
      <xdr:col>3</xdr:col>
      <xdr:colOff>666750</xdr:colOff>
      <xdr:row>1</xdr:row>
      <xdr:rowOff>54429</xdr:rowOff>
    </xdr:from>
    <xdr:to>
      <xdr:col>9</xdr:col>
      <xdr:colOff>966106</xdr:colOff>
      <xdr:row>11</xdr:row>
      <xdr:rowOff>353786</xdr:rowOff>
    </xdr:to>
    <xdr:graphicFrame macro="">
      <xdr:nvGraphicFramePr>
        <xdr:cNvPr id="4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2899</xdr:colOff>
      <xdr:row>3</xdr:row>
      <xdr:rowOff>11183</xdr:rowOff>
    </xdr:from>
    <xdr:to>
      <xdr:col>7</xdr:col>
      <xdr:colOff>633205</xdr:colOff>
      <xdr:row>19</xdr:row>
      <xdr:rowOff>30233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</xdr:row>
      <xdr:rowOff>2900</xdr:rowOff>
    </xdr:from>
    <xdr:to>
      <xdr:col>15</xdr:col>
      <xdr:colOff>609600</xdr:colOff>
      <xdr:row>19</xdr:row>
      <xdr:rowOff>2900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8696</xdr:colOff>
      <xdr:row>3</xdr:row>
      <xdr:rowOff>6211</xdr:rowOff>
    </xdr:from>
    <xdr:to>
      <xdr:col>24</xdr:col>
      <xdr:colOff>579782</xdr:colOff>
      <xdr:row>23</xdr:row>
      <xdr:rowOff>115957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0</xdr:colOff>
      <xdr:row>3</xdr:row>
      <xdr:rowOff>0</xdr:rowOff>
    </xdr:from>
    <xdr:to>
      <xdr:col>32</xdr:col>
      <xdr:colOff>333375</xdr:colOff>
      <xdr:row>19</xdr:row>
      <xdr:rowOff>27517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4" tint="-0.499984740745262"/>
    <pageSetUpPr fitToPage="1"/>
  </sheetPr>
  <dimension ref="B2:AI90"/>
  <sheetViews>
    <sheetView showGridLines="0" tabSelected="1" zoomScale="70" zoomScaleNormal="70" workbookViewId="0">
      <selection activeCell="C16" sqref="C16"/>
    </sheetView>
  </sheetViews>
  <sheetFormatPr defaultRowHeight="16.5" x14ac:dyDescent="0.15"/>
  <cols>
    <col min="1" max="1" width="6.625" style="34" customWidth="1"/>
    <col min="2" max="3" width="30.625" style="34" customWidth="1"/>
    <col min="4" max="4" width="9" style="34"/>
    <col min="5" max="6" width="30.625" style="34" customWidth="1"/>
    <col min="7" max="7" width="7.75" style="34" customWidth="1"/>
    <col min="8" max="8" width="30.625" style="34" customWidth="1"/>
    <col min="9" max="9" width="18.625" style="34" customWidth="1"/>
    <col min="10" max="10" width="12.625" style="34" customWidth="1"/>
    <col min="11" max="11" width="8.625" style="34" customWidth="1"/>
    <col min="12" max="21" width="10.125" style="34" customWidth="1"/>
    <col min="22" max="23" width="6.25" style="34" customWidth="1"/>
    <col min="24" max="24" width="8.625" style="34" customWidth="1"/>
    <col min="25" max="25" width="12.625" style="34" customWidth="1"/>
    <col min="26" max="26" width="11.75" style="34" customWidth="1"/>
    <col min="27" max="27" width="7.125" style="34" customWidth="1"/>
    <col min="28" max="29" width="8.625" style="34" customWidth="1"/>
    <col min="30" max="30" width="13.25" style="34" bestFit="1" customWidth="1"/>
    <col min="31" max="31" width="14.25" style="34" customWidth="1"/>
    <col min="32" max="33" width="8.625" style="34" customWidth="1"/>
    <col min="34" max="34" width="11.875" style="34" customWidth="1"/>
    <col min="35" max="16384" width="9" style="34"/>
  </cols>
  <sheetData>
    <row r="2" spans="2:35" ht="30" customHeight="1" x14ac:dyDescent="0.15">
      <c r="C2" s="263" t="str">
        <f>CONCATENATE("项目财务报告")</f>
        <v>项目财务报告</v>
      </c>
      <c r="D2" s="35"/>
      <c r="E2" s="35"/>
      <c r="F2" s="35"/>
      <c r="G2" s="35"/>
      <c r="H2" s="35"/>
      <c r="I2" s="35"/>
      <c r="J2" s="35"/>
      <c r="L2" s="36" t="s">
        <v>74</v>
      </c>
      <c r="M2" s="37"/>
      <c r="N2" s="37"/>
      <c r="O2" s="37"/>
      <c r="P2" s="37"/>
      <c r="Q2" s="37"/>
      <c r="X2" s="66" t="s">
        <v>171</v>
      </c>
      <c r="Y2" s="67"/>
      <c r="Z2" s="68" t="s">
        <v>172</v>
      </c>
      <c r="AA2" s="68" t="b">
        <f>IF(SUM(Y4:Y25)=0,0,FALSE)</f>
        <v>0</v>
      </c>
      <c r="AC2" s="36" t="s">
        <v>175</v>
      </c>
      <c r="AG2" s="36" t="s">
        <v>181</v>
      </c>
    </row>
    <row r="3" spans="2:35" ht="30" customHeight="1" x14ac:dyDescent="0.15">
      <c r="B3" s="38"/>
      <c r="C3" s="263"/>
      <c r="D3" s="35"/>
      <c r="E3" s="35"/>
      <c r="F3" s="35"/>
      <c r="G3" s="35"/>
      <c r="H3" s="35"/>
      <c r="I3" s="35"/>
      <c r="J3" s="35"/>
      <c r="L3" s="55"/>
      <c r="M3" s="56">
        <v>-0.1</v>
      </c>
      <c r="N3" s="56">
        <v>-0.05</v>
      </c>
      <c r="O3" s="55">
        <v>0</v>
      </c>
      <c r="P3" s="56">
        <v>0.05</v>
      </c>
      <c r="Q3" s="56">
        <v>0.1</v>
      </c>
      <c r="X3" s="65" t="s">
        <v>173</v>
      </c>
      <c r="Y3" s="65" t="s">
        <v>327</v>
      </c>
      <c r="Z3" s="261" t="s">
        <v>174</v>
      </c>
      <c r="AA3" s="262"/>
      <c r="AC3" s="64" t="s">
        <v>168</v>
      </c>
      <c r="AD3" s="64" t="s">
        <v>170</v>
      </c>
      <c r="AE3" s="64" t="s">
        <v>169</v>
      </c>
      <c r="AG3" s="64" t="s">
        <v>168</v>
      </c>
      <c r="AH3" s="64" t="s">
        <v>170</v>
      </c>
      <c r="AI3" s="64" t="s">
        <v>169</v>
      </c>
    </row>
    <row r="4" spans="2:35" ht="30" customHeight="1" x14ac:dyDescent="0.15">
      <c r="C4" s="39"/>
      <c r="D4" s="39"/>
      <c r="E4" s="39"/>
      <c r="F4" s="39"/>
      <c r="G4" s="39"/>
      <c r="H4" s="39"/>
      <c r="I4" s="39"/>
      <c r="J4" s="39"/>
      <c r="L4" s="113" t="s">
        <v>131</v>
      </c>
      <c r="M4" s="114">
        <f>(O4)*(1+M3)</f>
        <v>7.3926000000000007</v>
      </c>
      <c r="N4" s="114">
        <f>(O4)*(1+N3)</f>
        <v>7.8033000000000001</v>
      </c>
      <c r="O4" s="115">
        <v>8.2140000000000004</v>
      </c>
      <c r="P4" s="116">
        <f>(O4)*(1+P3)</f>
        <v>8.6247000000000007</v>
      </c>
      <c r="Q4" s="116">
        <f>(O4)*(1+Q3)</f>
        <v>9.035400000000001</v>
      </c>
      <c r="X4" s="63" t="s">
        <v>146</v>
      </c>
      <c r="Y4" s="69">
        <v>0</v>
      </c>
      <c r="Z4" s="259"/>
      <c r="AA4" s="260"/>
      <c r="AC4" s="63" t="s">
        <v>146</v>
      </c>
      <c r="AD4" s="69">
        <v>0</v>
      </c>
      <c r="AE4" s="70"/>
      <c r="AG4" s="63" t="s">
        <v>146</v>
      </c>
      <c r="AH4" s="69">
        <v>0</v>
      </c>
      <c r="AI4" s="70"/>
    </row>
    <row r="5" spans="2:35" ht="30" customHeight="1" x14ac:dyDescent="0.15">
      <c r="B5" s="40" t="s">
        <v>109</v>
      </c>
      <c r="C5" s="40" t="s">
        <v>137</v>
      </c>
      <c r="L5" s="117">
        <f>IRR('C01'!$B$73:$V$73)</f>
        <v>0.1386427222654083</v>
      </c>
      <c r="M5" s="117">
        <f t="dataTable" ref="M5:Q5" dt2D="0" dtr="1" r1="J16" ca="1"/>
        <v>0.19829126506994976</v>
      </c>
      <c r="N5" s="117">
        <v>0.16663044613811806</v>
      </c>
      <c r="O5" s="117">
        <v>0.1386427222654083</v>
      </c>
      <c r="P5" s="117">
        <v>0.11380148992359951</v>
      </c>
      <c r="Q5" s="117">
        <v>9.1961156508572728E-2</v>
      </c>
      <c r="X5" s="63" t="s">
        <v>147</v>
      </c>
      <c r="Y5" s="119">
        <v>840000</v>
      </c>
      <c r="Z5" s="259"/>
      <c r="AA5" s="260"/>
      <c r="AC5" s="63" t="s">
        <v>147</v>
      </c>
      <c r="AD5" s="69"/>
      <c r="AE5" s="70"/>
      <c r="AG5" s="63" t="s">
        <v>147</v>
      </c>
      <c r="AH5" s="102">
        <v>1</v>
      </c>
      <c r="AI5" s="70"/>
    </row>
    <row r="6" spans="2:35" ht="30" customHeight="1" x14ac:dyDescent="0.15">
      <c r="B6" s="59">
        <f>F34/10000</f>
        <v>24642.000000000004</v>
      </c>
      <c r="C6" s="60">
        <f>IFERROR(IRR('C01'!B56:V56),0)</f>
        <v>6.8767276289049439E-2</v>
      </c>
      <c r="L6" s="254" t="str">
        <f>B22</f>
        <v>最佳倾角小时数</v>
      </c>
      <c r="M6" s="118">
        <f>O6*(1+M3)</f>
        <v>1350</v>
      </c>
      <c r="N6" s="118">
        <f>O6*(1+N3)</f>
        <v>1425</v>
      </c>
      <c r="O6" s="119">
        <v>1500</v>
      </c>
      <c r="P6" s="118">
        <f>O6*(1+P3)</f>
        <v>1575</v>
      </c>
      <c r="Q6" s="118">
        <f>O6*(1+Q3)</f>
        <v>1650.0000000000002</v>
      </c>
      <c r="X6" s="63" t="s">
        <v>148</v>
      </c>
      <c r="Y6" s="119">
        <v>840000</v>
      </c>
      <c r="Z6" s="259"/>
      <c r="AA6" s="260"/>
      <c r="AC6" s="63" t="s">
        <v>148</v>
      </c>
      <c r="AD6" s="69"/>
      <c r="AE6" s="70"/>
      <c r="AG6" s="63" t="s">
        <v>148</v>
      </c>
      <c r="AH6" s="102">
        <v>1</v>
      </c>
      <c r="AI6" s="70"/>
    </row>
    <row r="7" spans="2:35" ht="30" customHeight="1" x14ac:dyDescent="0.15">
      <c r="B7" s="40" t="s">
        <v>139</v>
      </c>
      <c r="C7" s="40" t="s">
        <v>138</v>
      </c>
      <c r="L7" s="117">
        <f>IRR('C01'!$B$73:$V$73)</f>
        <v>0.1386427222654083</v>
      </c>
      <c r="M7" s="117">
        <f t="dataTable" ref="M7:Q7" dt2D="0" dtr="1" r1="C22"/>
        <v>7.7703215117559177E-2</v>
      </c>
      <c r="N7" s="117">
        <v>0.10746266655790238</v>
      </c>
      <c r="O7" s="117">
        <v>0.1386427222654083</v>
      </c>
      <c r="P7" s="117">
        <v>0.17039469191702783</v>
      </c>
      <c r="Q7" s="117">
        <v>0.20248767489613062</v>
      </c>
      <c r="X7" s="63" t="s">
        <v>149</v>
      </c>
      <c r="Y7" s="119">
        <v>840000</v>
      </c>
      <c r="Z7" s="259"/>
      <c r="AA7" s="260"/>
      <c r="AC7" s="63" t="s">
        <v>149</v>
      </c>
      <c r="AD7" s="69"/>
      <c r="AE7" s="70"/>
      <c r="AG7" s="63" t="s">
        <v>149</v>
      </c>
      <c r="AH7" s="102">
        <v>1</v>
      </c>
      <c r="AI7" s="70"/>
    </row>
    <row r="8" spans="2:35" ht="30" customHeight="1" x14ac:dyDescent="0.15">
      <c r="B8" s="59">
        <f>F37/10000</f>
        <v>4928.3999999999996</v>
      </c>
      <c r="C8" s="60">
        <f>IFERROR(IRR('C01'!B73:V73),0)</f>
        <v>0.1386427222654083</v>
      </c>
      <c r="L8" s="254" t="str">
        <f>B23</f>
        <v>首年有效利用小时</v>
      </c>
      <c r="M8" s="118">
        <f>$O$8*(1+M3)</f>
        <v>1060.5862575000001</v>
      </c>
      <c r="N8" s="118">
        <f>$O$8*(1+N3)</f>
        <v>1119.5077162499999</v>
      </c>
      <c r="O8" s="118">
        <f>O6*C24*(1-C26)*(1-C27)*(1-C28)*(1-C29)*0.9875</f>
        <v>1178.429175</v>
      </c>
      <c r="P8" s="118">
        <f>$O$8*(1+P3)</f>
        <v>1237.35063375</v>
      </c>
      <c r="Q8" s="118">
        <f>$O$8*(1+Q3)</f>
        <v>1296.2720925000001</v>
      </c>
      <c r="X8" s="63" t="s">
        <v>150</v>
      </c>
      <c r="Y8" s="119">
        <v>840000</v>
      </c>
      <c r="Z8" s="259"/>
      <c r="AA8" s="260"/>
      <c r="AC8" s="63" t="s">
        <v>150</v>
      </c>
      <c r="AD8" s="69"/>
      <c r="AE8" s="70"/>
      <c r="AG8" s="63" t="s">
        <v>150</v>
      </c>
      <c r="AH8" s="102">
        <v>1</v>
      </c>
      <c r="AI8" s="70"/>
    </row>
    <row r="9" spans="2:35" ht="30" customHeight="1" x14ac:dyDescent="0.15">
      <c r="B9" s="40" t="s">
        <v>140</v>
      </c>
      <c r="C9" s="40" t="s">
        <v>312</v>
      </c>
      <c r="L9" s="113" t="s">
        <v>132</v>
      </c>
      <c r="M9" s="117">
        <f>$O$9*(1+M3)</f>
        <v>4.8510000000000005E-2</v>
      </c>
      <c r="N9" s="117">
        <f>$O$9*(1+N3)</f>
        <v>5.1205000000000001E-2</v>
      </c>
      <c r="O9" s="120">
        <f>4.9%*1.1</f>
        <v>5.3900000000000003E-2</v>
      </c>
      <c r="P9" s="117">
        <f>$O$9*(1+P3)</f>
        <v>5.6595000000000006E-2</v>
      </c>
      <c r="Q9" s="117">
        <f>$O$9*(1+Q3)</f>
        <v>5.9290000000000009E-2</v>
      </c>
      <c r="X9" s="63" t="s">
        <v>151</v>
      </c>
      <c r="Y9" s="119">
        <v>840000</v>
      </c>
      <c r="Z9" s="259"/>
      <c r="AA9" s="260"/>
      <c r="AC9" s="63" t="s">
        <v>151</v>
      </c>
      <c r="AD9" s="69"/>
      <c r="AE9" s="70"/>
      <c r="AG9" s="63" t="s">
        <v>151</v>
      </c>
      <c r="AH9" s="102">
        <v>1</v>
      </c>
      <c r="AI9" s="70"/>
    </row>
    <row r="10" spans="2:35" s="41" customFormat="1" ht="30" customHeight="1" x14ac:dyDescent="0.15">
      <c r="B10" s="58">
        <f>J16</f>
        <v>8.2140000000000004</v>
      </c>
      <c r="C10" s="253">
        <f>LOOKUP(0,'C01'!$B$74:$V$74,'C01'!$B$60:$V$60)+ABS(LOOKUP(LOOKUP(0,'C01'!$B$74:$V$74,'C01'!$B$60:$V$60),'C01'!$B$60:$V$60,'C01'!$B$74:$V$74))/ABS(LOOKUP((LOOKUP(0,'C01'!$B$74:$V$74,'C01'!$B$60:$V$60)+1),'C01'!$B$60:$V$60,'C01'!$B$73:$V$73))</f>
        <v>4.3820203834632689</v>
      </c>
      <c r="L10" s="117">
        <f>IRR('C01'!$B$73:$V$73)</f>
        <v>0.1386427222654083</v>
      </c>
      <c r="M10" s="121">
        <f t="dataTable" ref="M10:Q10" dt2D="0" dtr="1" r1="F28" ca="1"/>
        <v>0.15479232195594217</v>
      </c>
      <c r="N10" s="121">
        <v>0.1466884714964094</v>
      </c>
      <c r="O10" s="121">
        <v>0.1386427222654083</v>
      </c>
      <c r="P10" s="121">
        <v>0.1306680808489431</v>
      </c>
      <c r="Q10" s="121">
        <v>0.12277774963585375</v>
      </c>
      <c r="X10" s="63" t="s">
        <v>152</v>
      </c>
      <c r="Y10" s="119">
        <v>924000</v>
      </c>
      <c r="Z10" s="259"/>
      <c r="AA10" s="260"/>
      <c r="AC10" s="63" t="s">
        <v>152</v>
      </c>
      <c r="AD10" s="69"/>
      <c r="AE10" s="71"/>
      <c r="AG10" s="63" t="s">
        <v>152</v>
      </c>
      <c r="AH10" s="102">
        <v>1</v>
      </c>
      <c r="AI10" s="71"/>
    </row>
    <row r="11" spans="2:35" ht="30" customHeight="1" x14ac:dyDescent="0.15">
      <c r="B11" s="40" t="s">
        <v>110</v>
      </c>
      <c r="C11" s="40" t="s">
        <v>323</v>
      </c>
      <c r="L11" s="254" t="str">
        <f>H38</f>
        <v>首年运营维护成本</v>
      </c>
      <c r="M11" s="118">
        <f>$O$11*(1+M3)</f>
        <v>2835000</v>
      </c>
      <c r="N11" s="118">
        <f>$O$11*(1+N3)</f>
        <v>2992500</v>
      </c>
      <c r="O11" s="119">
        <v>3150000</v>
      </c>
      <c r="P11" s="118">
        <f>$O$11*(1+P3)</f>
        <v>3307500</v>
      </c>
      <c r="Q11" s="118">
        <f>$O$11*(1+Q3)</f>
        <v>3465000.0000000005</v>
      </c>
      <c r="X11" s="63" t="s">
        <v>153</v>
      </c>
      <c r="Y11" s="119">
        <v>924000</v>
      </c>
      <c r="Z11" s="259"/>
      <c r="AA11" s="260"/>
      <c r="AC11" s="63" t="s">
        <v>153</v>
      </c>
      <c r="AD11" s="69"/>
      <c r="AE11" s="70"/>
      <c r="AG11" s="63" t="s">
        <v>153</v>
      </c>
      <c r="AH11" s="102">
        <v>1</v>
      </c>
      <c r="AI11" s="70"/>
    </row>
    <row r="12" spans="2:35" ht="30" customHeight="1" x14ac:dyDescent="0.15">
      <c r="B12" s="248">
        <f>NPV(F32,'C01'!B73:V73)</f>
        <v>466.94295590188045</v>
      </c>
      <c r="C12" s="251">
        <f>AVERAGE('C01'!C39:G39)</f>
        <v>0.70042848810166047</v>
      </c>
      <c r="L12" s="117">
        <f>IRR('C01'!$B$73:$V$73)</f>
        <v>0.1386427222654083</v>
      </c>
      <c r="M12" s="121">
        <f t="dataTable" ref="M12:Q12" dt2D="0" dtr="1" r1="I38" ca="1"/>
        <v>0.14693562921986625</v>
      </c>
      <c r="N12" s="121">
        <v>0.142796263265484</v>
      </c>
      <c r="O12" s="121">
        <v>0.1386427222654083</v>
      </c>
      <c r="P12" s="121">
        <v>0.13447536091262813</v>
      </c>
      <c r="Q12" s="121">
        <v>0.13029458369557001</v>
      </c>
      <c r="X12" s="63" t="s">
        <v>154</v>
      </c>
      <c r="Y12" s="119">
        <v>924000</v>
      </c>
      <c r="Z12" s="259"/>
      <c r="AA12" s="260"/>
      <c r="AC12" s="63" t="s">
        <v>154</v>
      </c>
      <c r="AD12" s="69"/>
      <c r="AE12" s="70"/>
      <c r="AG12" s="63" t="s">
        <v>154</v>
      </c>
      <c r="AH12" s="102">
        <v>1</v>
      </c>
      <c r="AI12" s="70"/>
    </row>
    <row r="13" spans="2:35" ht="16.5" customHeight="1" x14ac:dyDescent="0.15">
      <c r="B13" s="42"/>
      <c r="C13" s="42"/>
      <c r="L13" s="123" t="str">
        <f>B33</f>
        <v>燃煤发电上网电价</v>
      </c>
      <c r="M13" s="114">
        <f>O13*(1+M3)</f>
        <v>0.39563999999999999</v>
      </c>
      <c r="N13" s="114">
        <f>O13*(1+N3)</f>
        <v>0.41761999999999999</v>
      </c>
      <c r="O13" s="122">
        <v>0.43959999999999999</v>
      </c>
      <c r="P13" s="114">
        <f>O13*(1+P3)</f>
        <v>0.46157999999999999</v>
      </c>
      <c r="Q13" s="114">
        <f>O13*(1+Q3)</f>
        <v>0.48356000000000005</v>
      </c>
      <c r="X13" s="63" t="s">
        <v>155</v>
      </c>
      <c r="Y13" s="119">
        <v>924000</v>
      </c>
      <c r="Z13" s="259"/>
      <c r="AA13" s="260"/>
      <c r="AC13" s="63" t="s">
        <v>155</v>
      </c>
      <c r="AD13" s="69"/>
      <c r="AE13" s="70"/>
      <c r="AG13" s="63" t="s">
        <v>155</v>
      </c>
      <c r="AH13" s="102">
        <v>1</v>
      </c>
      <c r="AI13" s="70"/>
    </row>
    <row r="14" spans="2:35" ht="36" customHeight="1" x14ac:dyDescent="0.15">
      <c r="B14" s="267" t="s">
        <v>111</v>
      </c>
      <c r="C14" s="269"/>
      <c r="E14" s="267" t="s">
        <v>112</v>
      </c>
      <c r="F14" s="269"/>
      <c r="H14" s="267" t="s">
        <v>113</v>
      </c>
      <c r="I14" s="268"/>
      <c r="J14" s="269"/>
      <c r="L14" s="117">
        <f>IRR('C01'!$B$73:$V$73)</f>
        <v>0.1386427222654083</v>
      </c>
      <c r="M14" s="117">
        <f t="dataTable" ref="M14:Q14" dt2D="0" dtr="1" r1="C33" ca="1"/>
        <v>0.13737356124182254</v>
      </c>
      <c r="N14" s="117">
        <v>0.13800480084939104</v>
      </c>
      <c r="O14" s="117">
        <v>0.1386427222654083</v>
      </c>
      <c r="P14" s="117">
        <v>0.13928743788611042</v>
      </c>
      <c r="Q14" s="117">
        <v>0.13993906264854905</v>
      </c>
      <c r="X14" s="63" t="s">
        <v>156</v>
      </c>
      <c r="Y14" s="119">
        <v>924000</v>
      </c>
      <c r="Z14" s="259"/>
      <c r="AA14" s="260"/>
      <c r="AC14" s="63" t="s">
        <v>156</v>
      </c>
      <c r="AD14" s="69"/>
      <c r="AE14" s="70"/>
      <c r="AG14" s="63" t="s">
        <v>156</v>
      </c>
      <c r="AH14" s="102">
        <v>1</v>
      </c>
      <c r="AI14" s="70"/>
    </row>
    <row r="15" spans="2:35" ht="27" customHeight="1" x14ac:dyDescent="0.15">
      <c r="B15" s="75"/>
      <c r="C15" s="93"/>
      <c r="E15" s="75"/>
      <c r="F15" s="85"/>
      <c r="H15" s="75"/>
      <c r="I15" s="76" t="s">
        <v>114</v>
      </c>
      <c r="J15" s="77" t="s">
        <v>115</v>
      </c>
      <c r="L15" s="254" t="str">
        <f>B32</f>
        <v>光伏标杆上网电价</v>
      </c>
      <c r="M15" s="114">
        <f>M13+$C$34</f>
        <v>0.95604</v>
      </c>
      <c r="N15" s="114">
        <f>N13+$C$34</f>
        <v>0.97802</v>
      </c>
      <c r="O15" s="114">
        <f>O13+$C$34</f>
        <v>1</v>
      </c>
      <c r="P15" s="114">
        <f>P13+$C$34</f>
        <v>1.0219800000000001</v>
      </c>
      <c r="Q15" s="114">
        <f>Q13+$C$34</f>
        <v>1.04396</v>
      </c>
      <c r="X15" s="63" t="s">
        <v>157</v>
      </c>
      <c r="Y15" s="119">
        <v>1016400</v>
      </c>
      <c r="Z15" s="259"/>
      <c r="AA15" s="260"/>
      <c r="AC15" s="63" t="s">
        <v>157</v>
      </c>
      <c r="AD15" s="69"/>
      <c r="AE15" s="70"/>
      <c r="AG15" s="63" t="s">
        <v>157</v>
      </c>
      <c r="AH15" s="102">
        <v>1</v>
      </c>
      <c r="AI15" s="70"/>
    </row>
    <row r="16" spans="2:35" ht="15" customHeight="1" x14ac:dyDescent="0.15">
      <c r="B16" s="81" t="s">
        <v>96</v>
      </c>
      <c r="C16" s="30"/>
      <c r="E16" s="78" t="s">
        <v>102</v>
      </c>
      <c r="F16" s="80"/>
      <c r="H16" s="78" t="s">
        <v>104</v>
      </c>
      <c r="I16" s="79">
        <f>J16*$C$19*1000000</f>
        <v>246420000.00000003</v>
      </c>
      <c r="J16" s="80">
        <f>J17+J22+J35+J36</f>
        <v>8.2140000000000004</v>
      </c>
      <c r="X16" s="63" t="s">
        <v>158</v>
      </c>
      <c r="Y16" s="119">
        <v>1016400</v>
      </c>
      <c r="Z16" s="259"/>
      <c r="AA16" s="260"/>
      <c r="AC16" s="63" t="s">
        <v>158</v>
      </c>
      <c r="AD16" s="69"/>
      <c r="AE16" s="70"/>
      <c r="AG16" s="63" t="s">
        <v>158</v>
      </c>
      <c r="AH16" s="102">
        <v>1</v>
      </c>
      <c r="AI16" s="70"/>
    </row>
    <row r="17" spans="2:35" ht="15" customHeight="1" x14ac:dyDescent="0.15">
      <c r="B17" s="81" t="s">
        <v>316</v>
      </c>
      <c r="C17" s="30" t="s">
        <v>317</v>
      </c>
      <c r="D17" s="41"/>
      <c r="E17" s="81" t="s">
        <v>193</v>
      </c>
      <c r="F17" s="82">
        <v>20</v>
      </c>
      <c r="H17" s="107" t="s">
        <v>199</v>
      </c>
      <c r="I17" s="96">
        <f t="shared" ref="I17:I19" si="0">J17*$C$19*1000000</f>
        <v>16500000</v>
      </c>
      <c r="J17" s="80">
        <f>SUM(J18:J21)</f>
        <v>0.55000000000000004</v>
      </c>
      <c r="X17" s="63" t="s">
        <v>159</v>
      </c>
      <c r="Y17" s="119">
        <v>1016400</v>
      </c>
      <c r="Z17" s="259"/>
      <c r="AA17" s="260"/>
      <c r="AC17" s="63" t="s">
        <v>159</v>
      </c>
      <c r="AD17" s="69"/>
      <c r="AE17" s="70"/>
      <c r="AG17" s="63" t="s">
        <v>159</v>
      </c>
      <c r="AH17" s="102">
        <v>1</v>
      </c>
      <c r="AI17" s="70"/>
    </row>
    <row r="18" spans="2:35" ht="15" customHeight="1" x14ac:dyDescent="0.15">
      <c r="B18" s="81" t="s">
        <v>95</v>
      </c>
      <c r="C18" s="89" t="s">
        <v>17</v>
      </c>
      <c r="E18" s="81" t="s">
        <v>192</v>
      </c>
      <c r="F18" s="72">
        <v>0.1</v>
      </c>
      <c r="H18" s="81" t="s">
        <v>324</v>
      </c>
      <c r="I18" s="82">
        <f t="shared" si="0"/>
        <v>15000000</v>
      </c>
      <c r="J18" s="137">
        <v>0.5</v>
      </c>
      <c r="M18" s="43"/>
      <c r="N18" s="43"/>
      <c r="O18" s="43"/>
      <c r="P18" s="43"/>
      <c r="Q18" s="43"/>
      <c r="X18" s="63" t="s">
        <v>160</v>
      </c>
      <c r="Y18" s="119">
        <v>1016400</v>
      </c>
      <c r="Z18" s="259"/>
      <c r="AA18" s="260"/>
      <c r="AC18" s="63" t="s">
        <v>160</v>
      </c>
      <c r="AD18" s="69"/>
      <c r="AE18" s="70"/>
      <c r="AG18" s="63" t="s">
        <v>160</v>
      </c>
      <c r="AH18" s="102">
        <v>1</v>
      </c>
      <c r="AI18" s="70"/>
    </row>
    <row r="19" spans="2:35" ht="15" customHeight="1" x14ac:dyDescent="0.15">
      <c r="B19" s="81" t="s">
        <v>97</v>
      </c>
      <c r="C19" s="31">
        <v>30</v>
      </c>
      <c r="E19" s="81" t="s">
        <v>194</v>
      </c>
      <c r="F19" s="82">
        <v>20</v>
      </c>
      <c r="H19" s="81" t="s">
        <v>200</v>
      </c>
      <c r="I19" s="82">
        <f t="shared" si="0"/>
        <v>0</v>
      </c>
      <c r="J19" s="138"/>
      <c r="L19" s="44"/>
      <c r="M19" s="44"/>
      <c r="N19" s="44"/>
      <c r="O19" s="44"/>
      <c r="P19" s="44"/>
      <c r="Q19" s="44"/>
      <c r="X19" s="63" t="s">
        <v>161</v>
      </c>
      <c r="Y19" s="119">
        <v>1016400</v>
      </c>
      <c r="Z19" s="259"/>
      <c r="AA19" s="260"/>
      <c r="AC19" s="63" t="s">
        <v>161</v>
      </c>
      <c r="AD19" s="69"/>
      <c r="AE19" s="70"/>
      <c r="AG19" s="63" t="s">
        <v>161</v>
      </c>
      <c r="AH19" s="102">
        <v>1</v>
      </c>
      <c r="AI19" s="70"/>
    </row>
    <row r="20" spans="2:35" ht="15" customHeight="1" x14ac:dyDescent="0.15">
      <c r="B20" s="81" t="s">
        <v>98</v>
      </c>
      <c r="C20" s="140" t="s">
        <v>362</v>
      </c>
      <c r="E20" s="78" t="s">
        <v>103</v>
      </c>
      <c r="F20" s="80"/>
      <c r="H20" s="81" t="s">
        <v>201</v>
      </c>
      <c r="I20" s="82">
        <f t="shared" ref="I20:I28" si="1">J20*$C$19*1000000</f>
        <v>1500000</v>
      </c>
      <c r="J20" s="46">
        <v>0.05</v>
      </c>
      <c r="X20" s="63" t="s">
        <v>162</v>
      </c>
      <c r="Y20" s="119">
        <v>1118040</v>
      </c>
      <c r="Z20" s="259"/>
      <c r="AA20" s="260"/>
      <c r="AC20" s="63" t="s">
        <v>162</v>
      </c>
      <c r="AD20" s="69"/>
      <c r="AE20" s="70"/>
      <c r="AG20" s="63" t="s">
        <v>162</v>
      </c>
      <c r="AH20" s="102">
        <v>1</v>
      </c>
      <c r="AI20" s="70"/>
    </row>
    <row r="21" spans="2:35" ht="15" customHeight="1" x14ac:dyDescent="0.15">
      <c r="B21" s="81" t="s">
        <v>188</v>
      </c>
      <c r="C21" s="136">
        <v>42369</v>
      </c>
      <c r="E21" s="81" t="s">
        <v>116</v>
      </c>
      <c r="F21" s="86">
        <v>0.25</v>
      </c>
      <c r="H21" s="257" t="s">
        <v>224</v>
      </c>
      <c r="I21" s="82">
        <f t="shared" si="1"/>
        <v>0</v>
      </c>
      <c r="J21" s="46"/>
      <c r="X21" s="63" t="s">
        <v>163</v>
      </c>
      <c r="Y21" s="119">
        <v>1118040</v>
      </c>
      <c r="Z21" s="259"/>
      <c r="AA21" s="260"/>
      <c r="AC21" s="63" t="s">
        <v>163</v>
      </c>
      <c r="AD21" s="69"/>
      <c r="AE21" s="70"/>
      <c r="AG21" s="63" t="s">
        <v>163</v>
      </c>
      <c r="AH21" s="102">
        <v>1</v>
      </c>
      <c r="AI21" s="70"/>
    </row>
    <row r="22" spans="2:35" ht="15" customHeight="1" x14ac:dyDescent="0.15">
      <c r="B22" s="81" t="str">
        <f>IF(C20="地面电站","最佳倾角小时数","设计倾角小时数")</f>
        <v>最佳倾角小时数</v>
      </c>
      <c r="C22" s="32">
        <v>1500</v>
      </c>
      <c r="E22" s="81" t="s">
        <v>117</v>
      </c>
      <c r="F22" s="32">
        <v>2</v>
      </c>
      <c r="H22" s="107" t="s">
        <v>202</v>
      </c>
      <c r="I22" s="96">
        <f t="shared" si="1"/>
        <v>227160000</v>
      </c>
      <c r="J22" s="80">
        <f>SUM(J23:J24,J28:J34)</f>
        <v>7.5720000000000001</v>
      </c>
      <c r="L22" s="101" t="s">
        <v>221</v>
      </c>
      <c r="M22" s="101"/>
      <c r="X22" s="63" t="s">
        <v>164</v>
      </c>
      <c r="Y22" s="119">
        <v>1118040</v>
      </c>
      <c r="Z22" s="259"/>
      <c r="AA22" s="260"/>
      <c r="AC22" s="63" t="s">
        <v>164</v>
      </c>
      <c r="AD22" s="69"/>
      <c r="AE22" s="70"/>
      <c r="AG22" s="63" t="s">
        <v>164</v>
      </c>
      <c r="AH22" s="102">
        <v>1</v>
      </c>
      <c r="AI22" s="70"/>
    </row>
    <row r="23" spans="2:35" ht="15" customHeight="1" x14ac:dyDescent="0.15">
      <c r="B23" s="81" t="s">
        <v>189</v>
      </c>
      <c r="C23" s="94">
        <f>C22*C25*(1+1-C40)/2</f>
        <v>1178.429175</v>
      </c>
      <c r="E23" s="81" t="s">
        <v>118</v>
      </c>
      <c r="F23" s="61">
        <v>3</v>
      </c>
      <c r="H23" s="81" t="s">
        <v>203</v>
      </c>
      <c r="I23" s="82">
        <f t="shared" si="1"/>
        <v>1380000</v>
      </c>
      <c r="J23" s="138">
        <v>4.5999999999999999E-2</v>
      </c>
      <c r="L23" s="73" t="s">
        <v>213</v>
      </c>
      <c r="M23" s="124">
        <f>J23</f>
        <v>4.5999999999999999E-2</v>
      </c>
      <c r="X23" s="63" t="s">
        <v>165</v>
      </c>
      <c r="Y23" s="119">
        <v>1118040</v>
      </c>
      <c r="Z23" s="259"/>
      <c r="AA23" s="260"/>
      <c r="AC23" s="63" t="s">
        <v>165</v>
      </c>
      <c r="AD23" s="69"/>
      <c r="AE23" s="70"/>
      <c r="AG23" s="63" t="s">
        <v>165</v>
      </c>
      <c r="AH23" s="102">
        <v>1</v>
      </c>
      <c r="AI23" s="70"/>
    </row>
    <row r="24" spans="2:35" ht="15" customHeight="1" x14ac:dyDescent="0.15">
      <c r="B24" s="81" t="s">
        <v>190</v>
      </c>
      <c r="C24" s="139">
        <v>0.82</v>
      </c>
      <c r="E24" s="78" t="s">
        <v>227</v>
      </c>
      <c r="F24" s="80"/>
      <c r="H24" s="81" t="s">
        <v>204</v>
      </c>
      <c r="I24" s="82">
        <f t="shared" si="1"/>
        <v>163560000</v>
      </c>
      <c r="J24" s="138">
        <v>5.452</v>
      </c>
      <c r="L24" s="73" t="s">
        <v>214</v>
      </c>
      <c r="M24" s="125">
        <f>J24</f>
        <v>5.452</v>
      </c>
      <c r="X24" s="63" t="s">
        <v>166</v>
      </c>
      <c r="Y24" s="119">
        <v>1118040</v>
      </c>
      <c r="Z24" s="259"/>
      <c r="AA24" s="260"/>
      <c r="AC24" s="63" t="s">
        <v>166</v>
      </c>
      <c r="AD24" s="69"/>
      <c r="AE24" s="70"/>
      <c r="AG24" s="63" t="s">
        <v>166</v>
      </c>
      <c r="AH24" s="102">
        <v>1</v>
      </c>
      <c r="AI24" s="70"/>
    </row>
    <row r="25" spans="2:35" ht="15" customHeight="1" x14ac:dyDescent="0.15">
      <c r="B25" s="81" t="s">
        <v>222</v>
      </c>
      <c r="C25" s="256">
        <f>C24*(1-C26)*(1-C27)*(1-C28)*(1-C29)</f>
        <v>0.79556399999999994</v>
      </c>
      <c r="E25" s="81" t="s">
        <v>320</v>
      </c>
      <c r="F25" s="211"/>
      <c r="H25" s="110" t="s">
        <v>205</v>
      </c>
      <c r="I25" s="82">
        <f t="shared" si="1"/>
        <v>11100000</v>
      </c>
      <c r="J25" s="138">
        <v>0.37</v>
      </c>
      <c r="L25" s="73" t="s">
        <v>215</v>
      </c>
      <c r="M25" s="124">
        <f>J28</f>
        <v>0.90900000000000003</v>
      </c>
      <c r="X25" s="63" t="s">
        <v>167</v>
      </c>
      <c r="Y25" s="69"/>
      <c r="Z25" s="259"/>
      <c r="AA25" s="260"/>
      <c r="AC25" s="63" t="s">
        <v>167</v>
      </c>
      <c r="AD25" s="69"/>
      <c r="AE25" s="70"/>
      <c r="AG25" s="63" t="s">
        <v>167</v>
      </c>
      <c r="AH25" s="69"/>
      <c r="AI25" s="70"/>
    </row>
    <row r="26" spans="2:35" ht="15" customHeight="1" x14ac:dyDescent="0.15">
      <c r="B26" s="81" t="s">
        <v>99</v>
      </c>
      <c r="C26" s="33">
        <v>0</v>
      </c>
      <c r="E26" s="81" t="s">
        <v>319</v>
      </c>
      <c r="F26" s="45"/>
      <c r="H26" s="110" t="s">
        <v>206</v>
      </c>
      <c r="I26" s="82">
        <f t="shared" si="1"/>
        <v>115500000</v>
      </c>
      <c r="J26" s="138">
        <v>3.85</v>
      </c>
      <c r="L26" s="73" t="s">
        <v>216</v>
      </c>
      <c r="M26" s="126">
        <f>J29</f>
        <v>0.52700000000000002</v>
      </c>
    </row>
    <row r="27" spans="2:35" ht="15" customHeight="1" x14ac:dyDescent="0.15">
      <c r="B27" s="81" t="s">
        <v>100</v>
      </c>
      <c r="C27" s="186">
        <v>0.02</v>
      </c>
      <c r="E27" s="81" t="s">
        <v>195</v>
      </c>
      <c r="F27" s="185" t="s">
        <v>72</v>
      </c>
      <c r="H27" s="110" t="s">
        <v>207</v>
      </c>
      <c r="I27" s="82">
        <f t="shared" si="1"/>
        <v>8400000</v>
      </c>
      <c r="J27" s="138">
        <v>0.28000000000000003</v>
      </c>
      <c r="L27" s="73" t="s">
        <v>217</v>
      </c>
      <c r="M27" s="125">
        <f>J30</f>
        <v>0.153</v>
      </c>
    </row>
    <row r="28" spans="2:35" ht="15" customHeight="1" x14ac:dyDescent="0.15">
      <c r="B28" s="81" t="s">
        <v>101</v>
      </c>
      <c r="C28" s="33">
        <v>0.01</v>
      </c>
      <c r="E28" s="81" t="s">
        <v>318</v>
      </c>
      <c r="F28" s="45">
        <f>4.9%*1.1</f>
        <v>5.3900000000000003E-2</v>
      </c>
      <c r="H28" s="81" t="s">
        <v>208</v>
      </c>
      <c r="I28" s="82">
        <f t="shared" si="1"/>
        <v>27270000</v>
      </c>
      <c r="J28" s="138">
        <v>0.90900000000000003</v>
      </c>
      <c r="L28" s="73" t="s">
        <v>218</v>
      </c>
      <c r="M28" s="124">
        <f>J31</f>
        <v>0.2</v>
      </c>
    </row>
    <row r="29" spans="2:35" ht="15" customHeight="1" x14ac:dyDescent="0.15">
      <c r="B29" s="81" t="s">
        <v>119</v>
      </c>
      <c r="C29" s="186">
        <v>0</v>
      </c>
      <c r="E29" s="81" t="s">
        <v>196</v>
      </c>
      <c r="F29" s="151">
        <v>15</v>
      </c>
      <c r="H29" s="257" t="s">
        <v>212</v>
      </c>
      <c r="I29" s="82">
        <f t="shared" ref="I29" si="2">J29*$C$19*1000000</f>
        <v>15810000</v>
      </c>
      <c r="J29" s="138">
        <v>0.52700000000000002</v>
      </c>
      <c r="L29" s="74" t="s">
        <v>219</v>
      </c>
      <c r="M29" s="124">
        <f>J34</f>
        <v>0.03</v>
      </c>
      <c r="N29" s="44"/>
      <c r="O29" s="44"/>
      <c r="P29" s="44"/>
      <c r="Q29" s="44"/>
    </row>
    <row r="30" spans="2:35" ht="15" customHeight="1" x14ac:dyDescent="0.15">
      <c r="B30" s="81" t="s">
        <v>225</v>
      </c>
      <c r="C30" s="96">
        <v>20</v>
      </c>
      <c r="E30" s="81" t="s">
        <v>197</v>
      </c>
      <c r="F30" s="211">
        <v>0.8</v>
      </c>
      <c r="H30" s="110" t="s">
        <v>331</v>
      </c>
      <c r="I30" s="82">
        <f>J30*$C$19*1000000</f>
        <v>4590000</v>
      </c>
      <c r="J30" s="46">
        <v>0.153</v>
      </c>
      <c r="L30" s="73" t="s">
        <v>220</v>
      </c>
      <c r="M30" s="127">
        <f>SUM(M23:M29)</f>
        <v>7.3170000000000002</v>
      </c>
    </row>
    <row r="31" spans="2:35" ht="15" customHeight="1" x14ac:dyDescent="0.15">
      <c r="B31" s="81" t="s">
        <v>226</v>
      </c>
      <c r="C31" s="96">
        <v>20</v>
      </c>
      <c r="E31" s="87"/>
      <c r="F31" s="88"/>
      <c r="H31" s="81" t="s">
        <v>328</v>
      </c>
      <c r="I31" s="82">
        <f t="shared" ref="I31:I36" si="3">J31*$C$19*1000000</f>
        <v>6000000</v>
      </c>
      <c r="J31" s="138">
        <v>0.2</v>
      </c>
    </row>
    <row r="32" spans="2:35" ht="15" customHeight="1" x14ac:dyDescent="0.15">
      <c r="B32" s="81" t="str">
        <f>IF(C20="地面电站","光伏标杆上网电价","综合电价")</f>
        <v>光伏标杆上网电价</v>
      </c>
      <c r="C32" s="80">
        <f>C33+C34</f>
        <v>1</v>
      </c>
      <c r="E32" s="110" t="s">
        <v>228</v>
      </c>
      <c r="F32" s="86">
        <v>0.12</v>
      </c>
      <c r="H32" s="81" t="s">
        <v>329</v>
      </c>
      <c r="I32" s="82">
        <f t="shared" si="3"/>
        <v>6600000</v>
      </c>
      <c r="J32" s="138">
        <v>0.22</v>
      </c>
    </row>
    <row r="33" spans="2:21" ht="15" customHeight="1" x14ac:dyDescent="0.15">
      <c r="B33" s="81" t="str">
        <f>IF(C20="地面电站","燃煤发电上网电价","综合用户电价")</f>
        <v>燃煤发电上网电价</v>
      </c>
      <c r="C33" s="112">
        <v>0.43959999999999999</v>
      </c>
      <c r="E33" s="81" t="s">
        <v>120</v>
      </c>
      <c r="F33" s="89">
        <f>F34-F35</f>
        <v>221509333.33333337</v>
      </c>
      <c r="H33" s="81" t="s">
        <v>209</v>
      </c>
      <c r="I33" s="82">
        <f t="shared" si="3"/>
        <v>1050000</v>
      </c>
      <c r="J33" s="46">
        <v>3.5000000000000003E-2</v>
      </c>
    </row>
    <row r="34" spans="2:21" ht="15" customHeight="1" x14ac:dyDescent="0.15">
      <c r="B34" s="81" t="s">
        <v>191</v>
      </c>
      <c r="C34" s="112">
        <f>1-C33</f>
        <v>0.56040000000000001</v>
      </c>
      <c r="E34" s="81" t="s">
        <v>121</v>
      </c>
      <c r="F34" s="89">
        <f>(J16)*C19*1000000</f>
        <v>246420000.00000003</v>
      </c>
      <c r="H34" s="81" t="s">
        <v>210</v>
      </c>
      <c r="I34" s="82">
        <f t="shared" si="3"/>
        <v>899999.99999999988</v>
      </c>
      <c r="J34" s="138">
        <v>0.03</v>
      </c>
    </row>
    <row r="35" spans="2:21" ht="15" customHeight="1" x14ac:dyDescent="0.15">
      <c r="B35" s="97"/>
      <c r="C35" s="98"/>
      <c r="E35" s="81" t="s">
        <v>122</v>
      </c>
      <c r="F35" s="89">
        <f>(J40)*C19*1000000</f>
        <v>24910666.666666664</v>
      </c>
      <c r="H35" s="108" t="s">
        <v>211</v>
      </c>
      <c r="I35" s="96">
        <f t="shared" si="3"/>
        <v>659999.99999999988</v>
      </c>
      <c r="J35" s="129">
        <v>2.1999999999999999E-2</v>
      </c>
    </row>
    <row r="36" spans="2:21" ht="15" customHeight="1" x14ac:dyDescent="0.15">
      <c r="B36" s="78" t="s">
        <v>123</v>
      </c>
      <c r="C36" s="80"/>
      <c r="E36" s="81" t="s">
        <v>124</v>
      </c>
      <c r="F36" s="90">
        <f>1-F30</f>
        <v>0.19999999999999996</v>
      </c>
      <c r="H36" s="107" t="s">
        <v>330</v>
      </c>
      <c r="I36" s="96">
        <f t="shared" si="3"/>
        <v>2100000</v>
      </c>
      <c r="J36" s="109">
        <v>7.0000000000000007E-2</v>
      </c>
    </row>
    <row r="37" spans="2:21" ht="15" customHeight="1" x14ac:dyDescent="0.15">
      <c r="B37" s="91" t="s">
        <v>125</v>
      </c>
      <c r="C37" s="95">
        <f>3%</f>
        <v>0.03</v>
      </c>
      <c r="E37" s="81" t="s">
        <v>126</v>
      </c>
      <c r="F37" s="89">
        <f>F36*F34</f>
        <v>49283999.999999993</v>
      </c>
      <c r="H37" s="264" t="s">
        <v>105</v>
      </c>
      <c r="I37" s="265"/>
      <c r="J37" s="266"/>
      <c r="L37" s="36" t="str">
        <f>IF(C20="地面电站","土地租金及土地使用税","屋顶租赁费")</f>
        <v>土地租金及土地使用税</v>
      </c>
    </row>
    <row r="38" spans="2:21" ht="15" customHeight="1" x14ac:dyDescent="0.15">
      <c r="B38" s="99"/>
      <c r="C38" s="100"/>
      <c r="E38" s="128" t="s">
        <v>223</v>
      </c>
      <c r="F38" s="89"/>
      <c r="H38" s="81" t="s">
        <v>198</v>
      </c>
      <c r="I38" s="247">
        <f>IF(C19&lt;=10,196*C19/10,IF(C19&lt;=20,196+(253-196)*(C19-10)/10,IF(C19&lt;=30,253+(315-253)*(C19-20)/10,IF(C19&lt;=40,315+(356-315)*(C19-30)/10,IF(C19&lt;=50,356+(495-356)*(C19-40)/10,IF(C19&lt;=60,495+(538-495)*(C19-50)/10,IF(C19&lt;=70,538+(592-538)*(C19-60)/10,IF(C19&lt;=80,592+(654-592)*(C19-70)/10,IF(C19&lt;=90,654+(707-654)*(C19-80)/10,IF(C19&lt;=100,707+(791-707)*(C19-90)/10,C19*100*0.08))))))))))*10000</f>
        <v>3150000</v>
      </c>
      <c r="J38" s="83">
        <f>I38/$C$19/1000000</f>
        <v>0.105</v>
      </c>
      <c r="L38" s="48">
        <v>1</v>
      </c>
      <c r="M38" s="49">
        <v>2</v>
      </c>
      <c r="N38" s="49">
        <v>3</v>
      </c>
      <c r="O38" s="49">
        <v>4</v>
      </c>
      <c r="P38" s="49">
        <v>5</v>
      </c>
      <c r="Q38" s="49">
        <v>6</v>
      </c>
      <c r="R38" s="49">
        <v>7</v>
      </c>
      <c r="S38" s="49">
        <v>8</v>
      </c>
      <c r="T38" s="49">
        <v>9</v>
      </c>
      <c r="U38" s="50">
        <v>10</v>
      </c>
    </row>
    <row r="39" spans="2:21" ht="15" customHeight="1" x14ac:dyDescent="0.15">
      <c r="B39" s="78" t="s">
        <v>127</v>
      </c>
      <c r="C39" s="80"/>
      <c r="E39" s="92" t="s">
        <v>313</v>
      </c>
      <c r="F39" s="82">
        <v>1</v>
      </c>
      <c r="H39" s="81" t="str">
        <f>IF(C20="地面电站","土地租金及土地使用税","屋顶租赁费")</f>
        <v>土地租金及土地使用税</v>
      </c>
      <c r="I39" s="51">
        <f>C19*35*800</f>
        <v>840000</v>
      </c>
      <c r="J39" s="83">
        <f>I39/$C$19/1000000</f>
        <v>2.8000000000000001E-2</v>
      </c>
      <c r="L39" s="130">
        <f>I39</f>
        <v>840000</v>
      </c>
      <c r="M39" s="131">
        <f>L39</f>
        <v>840000</v>
      </c>
      <c r="N39" s="131">
        <f t="shared" ref="N39:U39" si="4">M39</f>
        <v>840000</v>
      </c>
      <c r="O39" s="131">
        <f t="shared" si="4"/>
        <v>840000</v>
      </c>
      <c r="P39" s="131">
        <f t="shared" si="4"/>
        <v>840000</v>
      </c>
      <c r="Q39" s="131">
        <f>P39*1.1</f>
        <v>924000.00000000012</v>
      </c>
      <c r="R39" s="131">
        <f t="shared" si="4"/>
        <v>924000.00000000012</v>
      </c>
      <c r="S39" s="131">
        <f t="shared" si="4"/>
        <v>924000.00000000012</v>
      </c>
      <c r="T39" s="131">
        <f t="shared" si="4"/>
        <v>924000.00000000012</v>
      </c>
      <c r="U39" s="132">
        <f t="shared" si="4"/>
        <v>924000.00000000012</v>
      </c>
    </row>
    <row r="40" spans="2:21" ht="15" customHeight="1" x14ac:dyDescent="0.15">
      <c r="B40" s="91" t="s">
        <v>128</v>
      </c>
      <c r="C40" s="95">
        <v>2.5000000000000001E-2</v>
      </c>
      <c r="E40" s="92" t="s">
        <v>314</v>
      </c>
      <c r="F40" s="210">
        <v>24</v>
      </c>
      <c r="H40" s="81" t="s">
        <v>106</v>
      </c>
      <c r="I40" s="84">
        <f>J40*C19*100</f>
        <v>2491.0666666666666</v>
      </c>
      <c r="J40" s="83">
        <f>(IF(J16&gt;9,9,J16)-J20)*I41/1.17*0.17</f>
        <v>0.83035555555555551</v>
      </c>
      <c r="L40" s="52">
        <v>11</v>
      </c>
      <c r="M40" s="53">
        <v>12</v>
      </c>
      <c r="N40" s="53">
        <v>13</v>
      </c>
      <c r="O40" s="53">
        <v>14</v>
      </c>
      <c r="P40" s="53">
        <v>15</v>
      </c>
      <c r="Q40" s="53">
        <v>16</v>
      </c>
      <c r="R40" s="53">
        <v>17</v>
      </c>
      <c r="S40" s="53">
        <v>18</v>
      </c>
      <c r="T40" s="53">
        <v>19</v>
      </c>
      <c r="U40" s="54">
        <v>20</v>
      </c>
    </row>
    <row r="41" spans="2:21" ht="15" customHeight="1" x14ac:dyDescent="0.15">
      <c r="B41" s="91" t="s">
        <v>129</v>
      </c>
      <c r="C41" s="95">
        <v>8.0000000000000002E-3</v>
      </c>
      <c r="E41" s="92" t="s">
        <v>325</v>
      </c>
      <c r="F41" s="47">
        <v>3</v>
      </c>
      <c r="H41" s="81" t="s">
        <v>107</v>
      </c>
      <c r="I41" s="62">
        <v>0.7</v>
      </c>
      <c r="J41" s="83"/>
      <c r="L41" s="133">
        <f>U39*1.1</f>
        <v>1016400.0000000002</v>
      </c>
      <c r="M41" s="134">
        <f>L41</f>
        <v>1016400.0000000002</v>
      </c>
      <c r="N41" s="134">
        <f t="shared" ref="N41:U41" si="5">M41</f>
        <v>1016400.0000000002</v>
      </c>
      <c r="O41" s="134">
        <f t="shared" si="5"/>
        <v>1016400.0000000002</v>
      </c>
      <c r="P41" s="134">
        <f t="shared" si="5"/>
        <v>1016400.0000000002</v>
      </c>
      <c r="Q41" s="134">
        <f>P41*1.1</f>
        <v>1118040.0000000002</v>
      </c>
      <c r="R41" s="134">
        <f t="shared" si="5"/>
        <v>1118040.0000000002</v>
      </c>
      <c r="S41" s="134">
        <f t="shared" si="5"/>
        <v>1118040.0000000002</v>
      </c>
      <c r="T41" s="134">
        <f t="shared" si="5"/>
        <v>1118040.0000000002</v>
      </c>
      <c r="U41" s="135">
        <f t="shared" si="5"/>
        <v>1118040.0000000002</v>
      </c>
    </row>
    <row r="42" spans="2:21" ht="15" customHeight="1" x14ac:dyDescent="0.15">
      <c r="B42" s="91" t="s">
        <v>130</v>
      </c>
      <c r="C42" s="95">
        <v>7.0000000000000001E-3</v>
      </c>
      <c r="E42" s="111" t="s">
        <v>315</v>
      </c>
      <c r="F42" s="209">
        <v>3</v>
      </c>
      <c r="H42" s="81" t="s">
        <v>108</v>
      </c>
      <c r="I42" s="62">
        <v>0.1</v>
      </c>
      <c r="J42" s="83"/>
    </row>
    <row r="43" spans="2:21" ht="15" customHeight="1" x14ac:dyDescent="0.15"/>
    <row r="44" spans="2:21" ht="15.95" customHeight="1" x14ac:dyDescent="0.15">
      <c r="I44" s="34" t="s">
        <v>183</v>
      </c>
      <c r="J44" s="103">
        <v>42292</v>
      </c>
    </row>
    <row r="45" spans="2:21" ht="15.95" customHeight="1" x14ac:dyDescent="0.15">
      <c r="I45" s="34" t="s">
        <v>182</v>
      </c>
      <c r="J45" s="104" t="s">
        <v>184</v>
      </c>
    </row>
    <row r="46" spans="2:21" ht="15.95" customHeight="1" x14ac:dyDescent="0.15"/>
    <row r="47" spans="2:21" ht="15.95" customHeight="1" x14ac:dyDescent="0.15"/>
    <row r="48" spans="2:21" ht="15.95" customHeight="1" x14ac:dyDescent="0.15"/>
    <row r="49" ht="15.95" customHeight="1" x14ac:dyDescent="0.15"/>
    <row r="50" ht="15.95" customHeight="1" collapsed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</sheetData>
  <sheetProtection password="AF83" sheet="1" objects="1" scenarios="1" selectLockedCells="1"/>
  <mergeCells count="28">
    <mergeCell ref="C2:C3"/>
    <mergeCell ref="H37:J37"/>
    <mergeCell ref="H14:J14"/>
    <mergeCell ref="E14:F14"/>
    <mergeCell ref="B14:C14"/>
    <mergeCell ref="Z3:AA3"/>
    <mergeCell ref="Z4:AA4"/>
    <mergeCell ref="Z5:AA5"/>
    <mergeCell ref="Z6:AA6"/>
    <mergeCell ref="Z7:AA7"/>
    <mergeCell ref="Z8:AA8"/>
    <mergeCell ref="Z9:AA9"/>
    <mergeCell ref="Z10:AA10"/>
    <mergeCell ref="Z11:AA11"/>
    <mergeCell ref="Z12:AA12"/>
    <mergeCell ref="Z13:AA13"/>
    <mergeCell ref="Z14:AA14"/>
    <mergeCell ref="Z15:AA15"/>
    <mergeCell ref="Z16:AA16"/>
    <mergeCell ref="Z17:AA17"/>
    <mergeCell ref="Z23:AA23"/>
    <mergeCell ref="Z24:AA24"/>
    <mergeCell ref="Z25:AA25"/>
    <mergeCell ref="Z18:AA18"/>
    <mergeCell ref="Z19:AA19"/>
    <mergeCell ref="Z20:AA20"/>
    <mergeCell ref="Z21:AA21"/>
    <mergeCell ref="Z22:AA22"/>
  </mergeCells>
  <phoneticPr fontId="1" type="noConversion"/>
  <conditionalFormatting sqref="I41:J42 F31 F20 F16 F24 C36 C39">
    <cfRule type="expression" dxfId="8" priority="96">
      <formula>AND(#REF!&lt;&gt;"Purchase",#REF!&lt;&gt;0)</formula>
    </cfRule>
  </conditionalFormatting>
  <conditionalFormatting sqref="I40:J40">
    <cfRule type="expression" dxfId="7" priority="47">
      <formula>AND(#REF!&lt;&gt;"Purchase",#REF!&lt;&gt;0)</formula>
    </cfRule>
  </conditionalFormatting>
  <conditionalFormatting sqref="I38:J39">
    <cfRule type="expression" dxfId="6" priority="36">
      <formula>AND(#REF!&lt;&gt;"Purchase",#REF!&lt;&gt;0)</formula>
    </cfRule>
  </conditionalFormatting>
  <conditionalFormatting sqref="I38:J39">
    <cfRule type="expression" dxfId="5" priority="35">
      <formula>AND(#REF!&lt;&gt;"Purchase",#REF!&lt;&gt;0)</formula>
    </cfRule>
  </conditionalFormatting>
  <conditionalFormatting sqref="I40:J42 F31 F20 F16 F24 C36 C39">
    <cfRule type="expression" dxfId="4" priority="242">
      <formula>AND(#REF!&lt;&gt;0,#REF!&lt;&gt;0)</formula>
    </cfRule>
  </conditionalFormatting>
  <conditionalFormatting sqref="I38:J40 F31 I16:J16 F16 F20 F24 C36 C39 I30:I36 I16:I20 I22:I28">
    <cfRule type="expression" dxfId="3" priority="252">
      <formula>AND(#REF!&lt;&gt;0,#REF!&lt;&gt;0)</formula>
    </cfRule>
  </conditionalFormatting>
  <conditionalFormatting sqref="I38:J39">
    <cfRule type="expression" dxfId="2" priority="263">
      <formula>AND(#REF!&lt;&gt;0,#REF!&lt;&gt;0)</formula>
    </cfRule>
  </conditionalFormatting>
  <conditionalFormatting sqref="I29">
    <cfRule type="expression" dxfId="1" priority="2">
      <formula>AND(#REF!&lt;&gt;0,#REF!&lt;&gt;0)</formula>
    </cfRule>
  </conditionalFormatting>
  <conditionalFormatting sqref="I21">
    <cfRule type="expression" dxfId="0" priority="1">
      <formula>AND(#REF!&lt;&gt;0,#REF!&lt;&gt;0)</formula>
    </cfRule>
  </conditionalFormatting>
  <dataValidations count="4">
    <dataValidation type="list" allowBlank="1" showInputMessage="1" showErrorMessage="1" sqref="C20">
      <formula1>Project_Type</formula1>
    </dataValidation>
    <dataValidation type="list" allowBlank="1" showInputMessage="1" showErrorMessage="1" sqref="C18">
      <formula1>Currency_List</formula1>
    </dataValidation>
    <dataValidation type="list" allowBlank="1" showInputMessage="1" showErrorMessage="1" sqref="F27">
      <formula1>Debt_Service_Method</formula1>
    </dataValidation>
    <dataValidation type="list" allowBlank="1" showInputMessage="1" showErrorMessage="1" sqref="C17">
      <formula1>"自行开发,滚动开发,合作开发,并购未建,并购在建"</formula1>
    </dataValidation>
  </dataValidations>
  <pageMargins left="0" right="0" top="0" bottom="0" header="0.31496062992125984" footer="0.31496062992125984"/>
  <pageSetup paperSize="9" scale="67" orientation="landscape" horizontalDpi="300" verticalDpi="300" r:id="rId1"/>
  <ignoredErrors>
    <ignoredError sqref="C25 C37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00000"/>
    <pageSetUpPr fitToPage="1"/>
  </sheetPr>
  <dimension ref="A1:AP123"/>
  <sheetViews>
    <sheetView showGridLines="0" zoomScale="96" zoomScaleNormal="96" workbookViewId="0">
      <selection activeCell="C71" sqref="C71"/>
    </sheetView>
  </sheetViews>
  <sheetFormatPr defaultColWidth="9" defaultRowHeight="14.25" x14ac:dyDescent="0.15"/>
  <cols>
    <col min="1" max="1" width="14.125" style="8" customWidth="1"/>
    <col min="2" max="2" width="8.25" style="10" customWidth="1"/>
    <col min="3" max="22" width="7.375" style="8" customWidth="1"/>
    <col min="23" max="16384" width="9" style="8"/>
  </cols>
  <sheetData>
    <row r="1" spans="1:22" ht="26.25" x14ac:dyDescent="0.15">
      <c r="A1" s="270" t="str">
        <f>CONCATENATE("项目现金流预测")</f>
        <v>项目现金流预测</v>
      </c>
      <c r="B1" s="270"/>
      <c r="C1" s="270"/>
      <c r="D1" s="270"/>
      <c r="E1" s="270"/>
      <c r="F1" s="270"/>
      <c r="G1" s="270"/>
      <c r="H1" s="270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6.25" x14ac:dyDescent="0.15">
      <c r="A2" s="270" t="str">
        <f>CONCATENATE(测算模型!C17,"-",测算模型!C20)</f>
        <v>自行开发-地面电站</v>
      </c>
      <c r="B2" s="270"/>
      <c r="C2" s="270"/>
      <c r="D2" s="270"/>
      <c r="E2" s="270"/>
      <c r="F2" s="270"/>
      <c r="G2" s="270"/>
      <c r="H2" s="270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s="142" customFormat="1" ht="15" x14ac:dyDescent="0.15">
      <c r="A3" s="154" t="s">
        <v>230</v>
      </c>
      <c r="B3" s="155">
        <v>0</v>
      </c>
      <c r="C3" s="156">
        <v>1</v>
      </c>
      <c r="D3" s="156">
        <v>2</v>
      </c>
      <c r="E3" s="155">
        <v>3</v>
      </c>
      <c r="F3" s="156">
        <v>4</v>
      </c>
      <c r="G3" s="156">
        <v>5</v>
      </c>
      <c r="H3" s="155">
        <v>6</v>
      </c>
      <c r="I3" s="156">
        <v>7</v>
      </c>
      <c r="J3" s="156">
        <v>8</v>
      </c>
      <c r="K3" s="155">
        <v>9</v>
      </c>
      <c r="L3" s="156">
        <v>10</v>
      </c>
      <c r="M3" s="156">
        <v>11</v>
      </c>
      <c r="N3" s="155">
        <v>12</v>
      </c>
      <c r="O3" s="156">
        <v>13</v>
      </c>
      <c r="P3" s="156">
        <v>14</v>
      </c>
      <c r="Q3" s="155">
        <v>15</v>
      </c>
      <c r="R3" s="156">
        <v>16</v>
      </c>
      <c r="S3" s="156">
        <v>17</v>
      </c>
      <c r="T3" s="155">
        <v>18</v>
      </c>
      <c r="U3" s="156">
        <v>19</v>
      </c>
      <c r="V3" s="157">
        <v>20</v>
      </c>
    </row>
    <row r="4" spans="1:22" x14ac:dyDescent="0.15">
      <c r="A4" s="152" t="s">
        <v>231</v>
      </c>
      <c r="B4" s="143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5"/>
    </row>
    <row r="5" spans="1:22" x14ac:dyDescent="0.15">
      <c r="A5" s="150" t="s">
        <v>232</v>
      </c>
      <c r="B5" s="143"/>
      <c r="C5" s="144">
        <f>B9</f>
        <v>19713.600000000006</v>
      </c>
      <c r="D5" s="144">
        <f>C9</f>
        <v>19713.600000000006</v>
      </c>
      <c r="E5" s="144">
        <f>D9</f>
        <v>18826.515321889965</v>
      </c>
      <c r="F5" s="144">
        <f t="shared" ref="F5:R5" si="0">E9</f>
        <v>17891.616779629792</v>
      </c>
      <c r="G5" s="144">
        <f t="shared" si="0"/>
        <v>16906.327205941798</v>
      </c>
      <c r="H5" s="144">
        <f t="shared" si="0"/>
        <v>15867.930524232019</v>
      </c>
      <c r="I5" s="144">
        <f t="shared" si="0"/>
        <v>14773.564261378084</v>
      </c>
      <c r="J5" s="144">
        <f t="shared" si="0"/>
        <v>13620.211656956322</v>
      </c>
      <c r="K5" s="144">
        <f t="shared" si="0"/>
        <v>12404.693347156226</v>
      </c>
      <c r="L5" s="144">
        <f t="shared" si="0"/>
        <v>11123.658600457906</v>
      </c>
      <c r="M5" s="144">
        <f t="shared" si="0"/>
        <v>9773.5760809125459</v>
      </c>
      <c r="N5" s="144">
        <f t="shared" si="0"/>
        <v>8350.7241135636905</v>
      </c>
      <c r="O5" s="144">
        <f t="shared" si="0"/>
        <v>6851.1804251747326</v>
      </c>
      <c r="P5" s="144">
        <f t="shared" si="0"/>
        <v>5270.8113319816093</v>
      </c>
      <c r="Q5" s="144">
        <f t="shared" si="0"/>
        <v>3605.2603446653766</v>
      </c>
      <c r="R5" s="144">
        <f t="shared" si="0"/>
        <v>1849.936159132799</v>
      </c>
      <c r="S5" s="144"/>
      <c r="T5" s="144"/>
      <c r="U5" s="144"/>
      <c r="V5" s="145"/>
    </row>
    <row r="6" spans="1:22" x14ac:dyDescent="0.15">
      <c r="A6" s="150" t="s">
        <v>236</v>
      </c>
      <c r="B6" s="143"/>
      <c r="C6" s="144"/>
      <c r="D6" s="144">
        <f>$C$9*测算模型!$F$28*(1+测算模型!$F$28)^测算模型!$F$29/((1+测算模型!$F$28)^测算模型!$F$29-1)</f>
        <v>1949.6477181100413</v>
      </c>
      <c r="E6" s="144">
        <f>$C$9*测算模型!$F$28*(1+测算模型!$F$28)^测算模型!$F$29/((1+测算模型!$F$28)^测算模型!$F$29-1)</f>
        <v>1949.6477181100413</v>
      </c>
      <c r="F6" s="144">
        <f>$C$9*测算模型!$F$28*(1+测算模型!$F$28)^测算模型!$F$29/((1+测算模型!$F$28)^测算模型!$F$29-1)</f>
        <v>1949.6477181100413</v>
      </c>
      <c r="G6" s="144">
        <f>$C$9*测算模型!$F$28*(1+测算模型!$F$28)^测算模型!$F$29/((1+测算模型!$F$28)^测算模型!$F$29-1)</f>
        <v>1949.6477181100413</v>
      </c>
      <c r="H6" s="144">
        <f>$C$9*测算模型!$F$28*(1+测算模型!$F$28)^测算模型!$F$29/((1+测算模型!$F$28)^测算模型!$F$29-1)</f>
        <v>1949.6477181100413</v>
      </c>
      <c r="I6" s="144">
        <f>$C$9*测算模型!$F$28*(1+测算模型!$F$28)^测算模型!$F$29/((1+测算模型!$F$28)^测算模型!$F$29-1)</f>
        <v>1949.6477181100413</v>
      </c>
      <c r="J6" s="144">
        <f>$C$9*测算模型!$F$28*(1+测算模型!$F$28)^测算模型!$F$29/((1+测算模型!$F$28)^测算模型!$F$29-1)</f>
        <v>1949.6477181100413</v>
      </c>
      <c r="K6" s="144">
        <f>$C$9*测算模型!$F$28*(1+测算模型!$F$28)^测算模型!$F$29/((1+测算模型!$F$28)^测算模型!$F$29-1)</f>
        <v>1949.6477181100413</v>
      </c>
      <c r="L6" s="144">
        <f>$C$9*测算模型!$F$28*(1+测算模型!$F$28)^测算模型!$F$29/((1+测算模型!$F$28)^测算模型!$F$29-1)</f>
        <v>1949.6477181100413</v>
      </c>
      <c r="M6" s="144">
        <f>$C$9*测算模型!$F$28*(1+测算模型!$F$28)^测算模型!$F$29/((1+测算模型!$F$28)^测算模型!$F$29-1)</f>
        <v>1949.6477181100413</v>
      </c>
      <c r="N6" s="144">
        <f>$C$9*测算模型!$F$28*(1+测算模型!$F$28)^测算模型!$F$29/((1+测算模型!$F$28)^测算模型!$F$29-1)</f>
        <v>1949.6477181100413</v>
      </c>
      <c r="O6" s="144">
        <f>$C$9*测算模型!$F$28*(1+测算模型!$F$28)^测算模型!$F$29/((1+测算模型!$F$28)^测算模型!$F$29-1)</f>
        <v>1949.6477181100413</v>
      </c>
      <c r="P6" s="144">
        <f>$C$9*测算模型!$F$28*(1+测算模型!$F$28)^测算模型!$F$29/((1+测算模型!$F$28)^测算模型!$F$29-1)</f>
        <v>1949.6477181100413</v>
      </c>
      <c r="Q6" s="144">
        <f>$C$9*测算模型!$F$28*(1+测算模型!$F$28)^测算模型!$F$29/((1+测算模型!$F$28)^测算模型!$F$29-1)</f>
        <v>1949.6477181100413</v>
      </c>
      <c r="R6" s="144">
        <f>$C$9*测算模型!$F$28*(1+测算模型!$F$28)^测算模型!$F$29/((1+测算模型!$F$28)^测算模型!$F$29-1)</f>
        <v>1949.6477181100413</v>
      </c>
      <c r="S6" s="144"/>
      <c r="T6" s="144"/>
      <c r="U6" s="144"/>
      <c r="V6" s="145"/>
    </row>
    <row r="7" spans="1:22" x14ac:dyDescent="0.15">
      <c r="A7" s="150" t="s">
        <v>233</v>
      </c>
      <c r="B7" s="143"/>
      <c r="C7" s="144"/>
      <c r="D7" s="144">
        <f>D6-D8</f>
        <v>887.08467811004084</v>
      </c>
      <c r="E7" s="144">
        <f t="shared" ref="E7:R7" si="1">E6-E8</f>
        <v>934.89854226017212</v>
      </c>
      <c r="F7" s="144">
        <f t="shared" si="1"/>
        <v>985.28957368799547</v>
      </c>
      <c r="G7" s="144">
        <f t="shared" si="1"/>
        <v>1038.3966817097785</v>
      </c>
      <c r="H7" s="144">
        <f t="shared" si="1"/>
        <v>1094.3662628539355</v>
      </c>
      <c r="I7" s="144">
        <f t="shared" si="1"/>
        <v>1153.3526044217624</v>
      </c>
      <c r="J7" s="144">
        <f t="shared" si="1"/>
        <v>1215.5183098000955</v>
      </c>
      <c r="K7" s="144">
        <f t="shared" si="1"/>
        <v>1281.0347466983208</v>
      </c>
      <c r="L7" s="144">
        <f t="shared" si="1"/>
        <v>1350.0825195453601</v>
      </c>
      <c r="M7" s="144">
        <f t="shared" si="1"/>
        <v>1422.8519673488549</v>
      </c>
      <c r="N7" s="144">
        <f t="shared" si="1"/>
        <v>1499.5436883889583</v>
      </c>
      <c r="O7" s="144">
        <f t="shared" si="1"/>
        <v>1580.3690931931233</v>
      </c>
      <c r="P7" s="144">
        <f t="shared" si="1"/>
        <v>1665.5509873162325</v>
      </c>
      <c r="Q7" s="144">
        <f t="shared" si="1"/>
        <v>1755.3241855325775</v>
      </c>
      <c r="R7" s="144">
        <f t="shared" si="1"/>
        <v>1849.9361591327834</v>
      </c>
      <c r="S7" s="144"/>
      <c r="T7" s="144"/>
      <c r="U7" s="144"/>
      <c r="V7" s="145"/>
    </row>
    <row r="8" spans="1:22" x14ac:dyDescent="0.15">
      <c r="A8" s="150" t="s">
        <v>234</v>
      </c>
      <c r="B8" s="143"/>
      <c r="C8" s="144">
        <f>C5*测算模型!$F$28</f>
        <v>1062.5630400000005</v>
      </c>
      <c r="D8" s="144">
        <f>D5*测算模型!$F$28</f>
        <v>1062.5630400000005</v>
      </c>
      <c r="E8" s="144">
        <f>E5*测算模型!$F$28</f>
        <v>1014.7491758498692</v>
      </c>
      <c r="F8" s="144">
        <f>F5*测算模型!$F$28</f>
        <v>964.35814442204583</v>
      </c>
      <c r="G8" s="144">
        <f>G5*测算模型!$F$28</f>
        <v>911.25103640026293</v>
      </c>
      <c r="H8" s="144">
        <f>H5*测算模型!$F$28</f>
        <v>855.28145525610591</v>
      </c>
      <c r="I8" s="144">
        <f>I5*测算模型!$F$28</f>
        <v>796.29511368827878</v>
      </c>
      <c r="J8" s="144">
        <f>J5*测算模型!$F$28</f>
        <v>734.1294083099458</v>
      </c>
      <c r="K8" s="144">
        <f>K5*测算模型!$F$28</f>
        <v>668.61297141172065</v>
      </c>
      <c r="L8" s="144">
        <f>L5*测算模型!$F$28</f>
        <v>599.56519856468117</v>
      </c>
      <c r="M8" s="144">
        <f>M5*测算模型!$F$28</f>
        <v>526.79575076118624</v>
      </c>
      <c r="N8" s="144">
        <f>N5*测算模型!$F$28</f>
        <v>450.10402972108295</v>
      </c>
      <c r="O8" s="144">
        <f>O5*测算模型!$F$28</f>
        <v>369.27862491691809</v>
      </c>
      <c r="P8" s="144">
        <f>P5*测算模型!$F$28</f>
        <v>284.09673079380877</v>
      </c>
      <c r="Q8" s="144">
        <f>Q5*测算模型!$F$28</f>
        <v>194.32353257746382</v>
      </c>
      <c r="R8" s="144">
        <f>R5*测算模型!$F$28</f>
        <v>99.71155897725788</v>
      </c>
      <c r="S8" s="144"/>
      <c r="T8" s="144"/>
      <c r="U8" s="144"/>
      <c r="V8" s="145"/>
    </row>
    <row r="9" spans="1:22" x14ac:dyDescent="0.15">
      <c r="A9" s="150" t="s">
        <v>235</v>
      </c>
      <c r="B9" s="144">
        <f>测算模型!$I$16/10000*测算模型!$F$30</f>
        <v>19713.600000000006</v>
      </c>
      <c r="C9" s="144">
        <f>C5-C7</f>
        <v>19713.600000000006</v>
      </c>
      <c r="D9" s="144">
        <f>D5-D7</f>
        <v>18826.515321889965</v>
      </c>
      <c r="E9" s="144">
        <f t="shared" ref="E9:R9" si="2">E5-E7</f>
        <v>17891.616779629792</v>
      </c>
      <c r="F9" s="144">
        <f t="shared" si="2"/>
        <v>16906.327205941798</v>
      </c>
      <c r="G9" s="144">
        <f t="shared" si="2"/>
        <v>15867.930524232019</v>
      </c>
      <c r="H9" s="144">
        <f t="shared" si="2"/>
        <v>14773.564261378084</v>
      </c>
      <c r="I9" s="144">
        <f t="shared" si="2"/>
        <v>13620.211656956322</v>
      </c>
      <c r="J9" s="144">
        <f t="shared" si="2"/>
        <v>12404.693347156226</v>
      </c>
      <c r="K9" s="144">
        <f t="shared" si="2"/>
        <v>11123.658600457906</v>
      </c>
      <c r="L9" s="144">
        <f t="shared" si="2"/>
        <v>9773.5760809125459</v>
      </c>
      <c r="M9" s="144">
        <f t="shared" si="2"/>
        <v>8350.7241135636905</v>
      </c>
      <c r="N9" s="144">
        <f t="shared" si="2"/>
        <v>6851.1804251747326</v>
      </c>
      <c r="O9" s="144">
        <f t="shared" si="2"/>
        <v>5270.8113319816093</v>
      </c>
      <c r="P9" s="144">
        <f t="shared" si="2"/>
        <v>3605.2603446653766</v>
      </c>
      <c r="Q9" s="144">
        <f t="shared" si="2"/>
        <v>1849.936159132799</v>
      </c>
      <c r="R9" s="144">
        <f t="shared" si="2"/>
        <v>1.5688783605583012E-11</v>
      </c>
      <c r="S9" s="144"/>
      <c r="T9" s="144"/>
      <c r="U9" s="144"/>
      <c r="V9" s="145"/>
    </row>
    <row r="10" spans="1:22" x14ac:dyDescent="0.15">
      <c r="A10" s="152" t="s">
        <v>237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5"/>
    </row>
    <row r="11" spans="1:22" x14ac:dyDescent="0.15">
      <c r="A11" s="150" t="s">
        <v>232</v>
      </c>
      <c r="B11" s="143"/>
      <c r="C11" s="144">
        <f>B15</f>
        <v>19713.600000000006</v>
      </c>
      <c r="D11" s="144">
        <f>C15</f>
        <v>19713.600000000006</v>
      </c>
      <c r="E11" s="144">
        <f t="shared" ref="E11:R11" si="3">D15</f>
        <v>18399.360000000004</v>
      </c>
      <c r="F11" s="144">
        <f t="shared" si="3"/>
        <v>17085.120000000003</v>
      </c>
      <c r="G11" s="144">
        <f t="shared" si="3"/>
        <v>15770.880000000003</v>
      </c>
      <c r="H11" s="144">
        <f t="shared" si="3"/>
        <v>14456.640000000003</v>
      </c>
      <c r="I11" s="144">
        <f t="shared" si="3"/>
        <v>13142.400000000003</v>
      </c>
      <c r="J11" s="144">
        <f t="shared" si="3"/>
        <v>11828.160000000003</v>
      </c>
      <c r="K11" s="144">
        <f t="shared" si="3"/>
        <v>10513.920000000004</v>
      </c>
      <c r="L11" s="144">
        <f t="shared" si="3"/>
        <v>9199.6800000000039</v>
      </c>
      <c r="M11" s="144">
        <f t="shared" si="3"/>
        <v>7885.4400000000032</v>
      </c>
      <c r="N11" s="144">
        <f t="shared" si="3"/>
        <v>6571.2000000000025</v>
      </c>
      <c r="O11" s="144">
        <f t="shared" si="3"/>
        <v>5256.9600000000019</v>
      </c>
      <c r="P11" s="144">
        <f t="shared" si="3"/>
        <v>3942.7200000000012</v>
      </c>
      <c r="Q11" s="144">
        <f t="shared" si="3"/>
        <v>2628.4800000000005</v>
      </c>
      <c r="R11" s="144">
        <f t="shared" si="3"/>
        <v>1314.24</v>
      </c>
      <c r="S11" s="144"/>
      <c r="T11" s="144"/>
      <c r="U11" s="144"/>
      <c r="V11" s="145"/>
    </row>
    <row r="12" spans="1:22" x14ac:dyDescent="0.15">
      <c r="A12" s="150" t="s">
        <v>236</v>
      </c>
      <c r="B12" s="143"/>
      <c r="C12" s="144"/>
      <c r="D12" s="144">
        <f>SUM(D13:D14)</f>
        <v>2376.8030400000007</v>
      </c>
      <c r="E12" s="144">
        <f t="shared" ref="E12:R12" si="4">SUM(E13:E14)</f>
        <v>2305.9655040000007</v>
      </c>
      <c r="F12" s="144">
        <f t="shared" si="4"/>
        <v>2235.1279680000007</v>
      </c>
      <c r="G12" s="144">
        <f t="shared" si="4"/>
        <v>2164.2904320000007</v>
      </c>
      <c r="H12" s="144">
        <f t="shared" si="4"/>
        <v>2093.4528960000007</v>
      </c>
      <c r="I12" s="144">
        <f t="shared" si="4"/>
        <v>2022.6153600000007</v>
      </c>
      <c r="J12" s="144">
        <f t="shared" si="4"/>
        <v>1951.7778240000007</v>
      </c>
      <c r="K12" s="144">
        <f t="shared" si="4"/>
        <v>1880.9402880000007</v>
      </c>
      <c r="L12" s="144">
        <f t="shared" si="4"/>
        <v>1810.1027520000007</v>
      </c>
      <c r="M12" s="144">
        <f t="shared" si="4"/>
        <v>1739.2652160000007</v>
      </c>
      <c r="N12" s="144">
        <f t="shared" si="4"/>
        <v>1668.4276800000007</v>
      </c>
      <c r="O12" s="144">
        <f t="shared" si="4"/>
        <v>1597.5901440000007</v>
      </c>
      <c r="P12" s="144">
        <f t="shared" si="4"/>
        <v>1526.7526080000005</v>
      </c>
      <c r="Q12" s="144">
        <f t="shared" si="4"/>
        <v>1455.9150720000005</v>
      </c>
      <c r="R12" s="144">
        <f t="shared" si="4"/>
        <v>1385.0775360000005</v>
      </c>
      <c r="S12" s="144"/>
      <c r="T12" s="144"/>
      <c r="U12" s="144"/>
      <c r="V12" s="145"/>
    </row>
    <row r="13" spans="1:22" x14ac:dyDescent="0.15">
      <c r="A13" s="150" t="s">
        <v>233</v>
      </c>
      <c r="B13" s="143"/>
      <c r="C13" s="144"/>
      <c r="D13" s="144">
        <f>$C$15/测算模型!$F$29</f>
        <v>1314.2400000000005</v>
      </c>
      <c r="E13" s="144">
        <f>$C$15/测算模型!$F$29</f>
        <v>1314.2400000000005</v>
      </c>
      <c r="F13" s="144">
        <f>$C$15/测算模型!$F$29</f>
        <v>1314.2400000000005</v>
      </c>
      <c r="G13" s="144">
        <f>$C$15/测算模型!$F$29</f>
        <v>1314.2400000000005</v>
      </c>
      <c r="H13" s="144">
        <f>$C$15/测算模型!$F$29</f>
        <v>1314.2400000000005</v>
      </c>
      <c r="I13" s="144">
        <f>$C$15/测算模型!$F$29</f>
        <v>1314.2400000000005</v>
      </c>
      <c r="J13" s="144">
        <f>$C$15/测算模型!$F$29</f>
        <v>1314.2400000000005</v>
      </c>
      <c r="K13" s="144">
        <f>$C$15/测算模型!$F$29</f>
        <v>1314.2400000000005</v>
      </c>
      <c r="L13" s="144">
        <f>$C$15/测算模型!$F$29</f>
        <v>1314.2400000000005</v>
      </c>
      <c r="M13" s="144">
        <f>$C$15/测算模型!$F$29</f>
        <v>1314.2400000000005</v>
      </c>
      <c r="N13" s="144">
        <f>$C$15/测算模型!$F$29</f>
        <v>1314.2400000000005</v>
      </c>
      <c r="O13" s="144">
        <f>$C$15/测算模型!$F$29</f>
        <v>1314.2400000000005</v>
      </c>
      <c r="P13" s="144">
        <f>$C$15/测算模型!$F$29</f>
        <v>1314.2400000000005</v>
      </c>
      <c r="Q13" s="144">
        <f>$C$15/测算模型!$F$29</f>
        <v>1314.2400000000005</v>
      </c>
      <c r="R13" s="144">
        <f>$C$15/测算模型!$F$29</f>
        <v>1314.2400000000005</v>
      </c>
      <c r="S13" s="144"/>
      <c r="T13" s="144"/>
      <c r="U13" s="144"/>
      <c r="V13" s="145"/>
    </row>
    <row r="14" spans="1:22" x14ac:dyDescent="0.15">
      <c r="A14" s="150" t="s">
        <v>234</v>
      </c>
      <c r="B14" s="143"/>
      <c r="C14" s="144">
        <f>C11*测算模型!$F$28</f>
        <v>1062.5630400000005</v>
      </c>
      <c r="D14" s="144">
        <f>D11*测算模型!$F$28</f>
        <v>1062.5630400000005</v>
      </c>
      <c r="E14" s="144">
        <f>E11*测算模型!$F$28</f>
        <v>991.72550400000034</v>
      </c>
      <c r="F14" s="144">
        <f>F11*测算模型!$F$28</f>
        <v>920.88796800000023</v>
      </c>
      <c r="G14" s="144">
        <f>G11*测算模型!$F$28</f>
        <v>850.05043200000023</v>
      </c>
      <c r="H14" s="144">
        <f>H11*测算模型!$F$28</f>
        <v>779.21289600000023</v>
      </c>
      <c r="I14" s="144">
        <f>I11*测算模型!$F$28</f>
        <v>708.37536000000023</v>
      </c>
      <c r="J14" s="144">
        <f>J11*测算模型!$F$28</f>
        <v>637.53782400000023</v>
      </c>
      <c r="K14" s="144">
        <f>K11*测算模型!$F$28</f>
        <v>566.70028800000023</v>
      </c>
      <c r="L14" s="144">
        <f>L11*测算模型!$F$28</f>
        <v>495.86275200000023</v>
      </c>
      <c r="M14" s="144">
        <f>M11*测算模型!$F$28</f>
        <v>425.02521600000023</v>
      </c>
      <c r="N14" s="144">
        <f>N11*测算模型!$F$28</f>
        <v>354.18768000000017</v>
      </c>
      <c r="O14" s="144">
        <f>O11*测算模型!$F$28</f>
        <v>283.35014400000011</v>
      </c>
      <c r="P14" s="144">
        <f>P11*测算模型!$F$28</f>
        <v>212.51260800000009</v>
      </c>
      <c r="Q14" s="144">
        <f>Q11*测算模型!$F$28</f>
        <v>141.67507200000003</v>
      </c>
      <c r="R14" s="144">
        <f>R11*测算模型!$F$28</f>
        <v>70.837536</v>
      </c>
      <c r="S14" s="144"/>
      <c r="T14" s="144"/>
      <c r="U14" s="144"/>
      <c r="V14" s="145"/>
    </row>
    <row r="15" spans="1:22" x14ac:dyDescent="0.15">
      <c r="A15" s="150" t="s">
        <v>235</v>
      </c>
      <c r="B15" s="144">
        <f>B9</f>
        <v>19713.600000000006</v>
      </c>
      <c r="C15" s="144">
        <f>C11-C13</f>
        <v>19713.600000000006</v>
      </c>
      <c r="D15" s="144">
        <f>D11-D13</f>
        <v>18399.360000000004</v>
      </c>
      <c r="E15" s="144">
        <f t="shared" ref="E15:R15" si="5">E11-E13</f>
        <v>17085.120000000003</v>
      </c>
      <c r="F15" s="144">
        <f t="shared" si="5"/>
        <v>15770.880000000003</v>
      </c>
      <c r="G15" s="144">
        <f t="shared" si="5"/>
        <v>14456.640000000003</v>
      </c>
      <c r="H15" s="144">
        <f t="shared" si="5"/>
        <v>13142.400000000003</v>
      </c>
      <c r="I15" s="144">
        <f t="shared" si="5"/>
        <v>11828.160000000003</v>
      </c>
      <c r="J15" s="144">
        <f t="shared" si="5"/>
        <v>10513.920000000004</v>
      </c>
      <c r="K15" s="144">
        <f t="shared" si="5"/>
        <v>9199.6800000000039</v>
      </c>
      <c r="L15" s="144">
        <f t="shared" si="5"/>
        <v>7885.4400000000032</v>
      </c>
      <c r="M15" s="144">
        <f t="shared" si="5"/>
        <v>6571.2000000000025</v>
      </c>
      <c r="N15" s="144">
        <f t="shared" si="5"/>
        <v>5256.9600000000019</v>
      </c>
      <c r="O15" s="144">
        <f t="shared" si="5"/>
        <v>3942.7200000000012</v>
      </c>
      <c r="P15" s="144">
        <f t="shared" si="5"/>
        <v>2628.4800000000005</v>
      </c>
      <c r="Q15" s="144">
        <f t="shared" si="5"/>
        <v>1314.24</v>
      </c>
      <c r="R15" s="144">
        <f t="shared" si="5"/>
        <v>0</v>
      </c>
      <c r="S15" s="144"/>
      <c r="T15" s="144"/>
      <c r="U15" s="144"/>
      <c r="V15" s="145"/>
    </row>
    <row r="16" spans="1:22" x14ac:dyDescent="0.15">
      <c r="A16" s="146"/>
      <c r="B16" s="147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9"/>
    </row>
    <row r="17" spans="1:22" x14ac:dyDescent="0.15"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x14ac:dyDescent="0.15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15" x14ac:dyDescent="0.15">
      <c r="A19" s="213" t="s">
        <v>254</v>
      </c>
      <c r="B19" s="214">
        <v>0</v>
      </c>
      <c r="C19" s="214">
        <v>1</v>
      </c>
      <c r="D19" s="214">
        <v>2</v>
      </c>
      <c r="E19" s="214">
        <v>3</v>
      </c>
      <c r="F19" s="214">
        <v>4</v>
      </c>
      <c r="G19" s="214">
        <v>5</v>
      </c>
      <c r="H19" s="214">
        <v>6</v>
      </c>
      <c r="I19" s="214">
        <v>7</v>
      </c>
      <c r="J19" s="214">
        <v>8</v>
      </c>
      <c r="K19" s="214">
        <v>9</v>
      </c>
      <c r="L19" s="214">
        <v>10</v>
      </c>
      <c r="M19" s="214">
        <v>11</v>
      </c>
      <c r="N19" s="214">
        <v>12</v>
      </c>
      <c r="O19" s="214">
        <v>13</v>
      </c>
      <c r="P19" s="214">
        <v>14</v>
      </c>
      <c r="Q19" s="214">
        <v>15</v>
      </c>
      <c r="R19" s="214">
        <v>16</v>
      </c>
      <c r="S19" s="214">
        <v>17</v>
      </c>
      <c r="T19" s="214">
        <v>18</v>
      </c>
      <c r="U19" s="214">
        <v>19</v>
      </c>
      <c r="V19" s="215">
        <v>20</v>
      </c>
    </row>
    <row r="20" spans="1:22" ht="15" x14ac:dyDescent="0.15">
      <c r="A20" s="216" t="s">
        <v>8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8"/>
    </row>
    <row r="21" spans="1:22" x14ac:dyDescent="0.15">
      <c r="A21" s="219" t="s">
        <v>229</v>
      </c>
      <c r="B21" s="220">
        <f>测算模型!C19/10*测算模型!C22*测算模型!C25</f>
        <v>3580.0379999999996</v>
      </c>
      <c r="C21" s="217">
        <f>IF(C19&gt;测算模型!$C30,0,$B$21*C22)*测算模型!AH5</f>
        <v>3535.2875249999997</v>
      </c>
      <c r="D21" s="217">
        <f>IF(D19&gt;测算模型!$C30,0,$B$21*D22)*测算模型!AH6</f>
        <v>3476.2168979999997</v>
      </c>
      <c r="E21" s="217">
        <f>IF(E19&gt;测算模型!$C30,0,$B$21*E22)*测算模型!AH7</f>
        <v>3447.5765939999997</v>
      </c>
      <c r="F21" s="217">
        <f>IF(F19&gt;测算模型!$C30,0,$B$21*F22)*测算模型!AH8</f>
        <v>3418.9362899999996</v>
      </c>
      <c r="G21" s="217">
        <f>IF(G19&gt;测算模型!$C30,0,$B$21*G22)*测算模型!AH9</f>
        <v>3390.2959859999996</v>
      </c>
      <c r="H21" s="217">
        <f>IF(H19&gt;测算模型!$C30,0,$B$21*H22)*测算模型!AH10</f>
        <v>3361.6556819999996</v>
      </c>
      <c r="I21" s="217">
        <f>IF(I19&gt;测算模型!$C30,0,$B$21*I22)*测算模型!AH11</f>
        <v>3333.0153779999996</v>
      </c>
      <c r="J21" s="217">
        <f>IF(J19&gt;测算模型!$C30,0,$B$21*J22)*测算模型!AH12</f>
        <v>3304.3750739999996</v>
      </c>
      <c r="K21" s="217">
        <f>IF(K19&gt;测算模型!$C30,0,$B$21*K22)*测算模型!AH13</f>
        <v>3275.7347699999996</v>
      </c>
      <c r="L21" s="217">
        <f>IF(L19&gt;测算模型!$C30,0,$B$21*L22)*测算模型!AH14</f>
        <v>3247.0944659999996</v>
      </c>
      <c r="M21" s="217">
        <f>IF(M19&gt;测算模型!$C30,0,$B$21*M22)*测算模型!AH15</f>
        <v>3222.0341999999996</v>
      </c>
      <c r="N21" s="217">
        <f>IF(N19&gt;测算模型!$C30,0,$B$21*N22)*测算模型!AH16</f>
        <v>3196.9739339999996</v>
      </c>
      <c r="O21" s="217">
        <f>IF(O19&gt;测算模型!$C30,0,$B$21*O22)*测算模型!AH17</f>
        <v>3171.9136679999997</v>
      </c>
      <c r="P21" s="217">
        <f>IF(P19&gt;测算模型!$C30,0,$B$21*P22)*测算模型!AH18</f>
        <v>3146.8534019999997</v>
      </c>
      <c r="Q21" s="217">
        <f>IF(Q19&gt;测算模型!$C30,0,$B$21*Q22)*测算模型!AH19</f>
        <v>3121.7931359999998</v>
      </c>
      <c r="R21" s="217">
        <f>IF(R19&gt;测算模型!$C30,0,$B$21*R22)*测算模型!AH20</f>
        <v>3096.7328699999994</v>
      </c>
      <c r="S21" s="217">
        <f>IF(S19&gt;测算模型!$C30,0,$B$21*S22)*测算模型!AH21</f>
        <v>3071.6726039999994</v>
      </c>
      <c r="T21" s="217">
        <f>IF(T19&gt;测算模型!$C30,0,$B$21*T22)*测算模型!AH22</f>
        <v>3046.6123379999995</v>
      </c>
      <c r="U21" s="217">
        <f>IF(U19&gt;测算模型!$C30,0,$B$21*U22)*测算模型!AH23</f>
        <v>3021.5520719999995</v>
      </c>
      <c r="V21" s="218">
        <f>IF(V19&gt;测算模型!$C30,0,$B$21*V22)*测算模型!AH24</f>
        <v>2996.4918059999995</v>
      </c>
    </row>
    <row r="22" spans="1:22" x14ac:dyDescent="0.15">
      <c r="A22" s="221" t="s">
        <v>16</v>
      </c>
      <c r="B22" s="255"/>
      <c r="C22" s="222">
        <f>(1+1-测算模型!$C$40)/2</f>
        <v>0.98750000000000004</v>
      </c>
      <c r="D22" s="223">
        <f>(C22-测算模型!$C$40/2-测算模型!$C$41/2)</f>
        <v>0.97100000000000009</v>
      </c>
      <c r="E22" s="223">
        <f>(D22-测算模型!$C41)</f>
        <v>0.96300000000000008</v>
      </c>
      <c r="F22" s="223">
        <f>(E22-测算模型!$C41)</f>
        <v>0.95500000000000007</v>
      </c>
      <c r="G22" s="223">
        <f>(F22-测算模型!$C41)</f>
        <v>0.94700000000000006</v>
      </c>
      <c r="H22" s="223">
        <f>(G22-测算模型!$C41)</f>
        <v>0.93900000000000006</v>
      </c>
      <c r="I22" s="223">
        <f>(H22-测算模型!$C41)</f>
        <v>0.93100000000000005</v>
      </c>
      <c r="J22" s="223">
        <f>(I22-测算模型!$C41)</f>
        <v>0.92300000000000004</v>
      </c>
      <c r="K22" s="223">
        <f>(J22-测算模型!$C41)</f>
        <v>0.91500000000000004</v>
      </c>
      <c r="L22" s="223">
        <f>(K22-测算模型!$C41)</f>
        <v>0.90700000000000003</v>
      </c>
      <c r="M22" s="223">
        <f>(L22-测算模型!$C42)</f>
        <v>0.9</v>
      </c>
      <c r="N22" s="223">
        <f>(M22-测算模型!$C42)</f>
        <v>0.89300000000000002</v>
      </c>
      <c r="O22" s="223">
        <f>(N22-测算模型!$C42)</f>
        <v>0.88600000000000001</v>
      </c>
      <c r="P22" s="223">
        <f>(O22-测算模型!$C42)</f>
        <v>0.879</v>
      </c>
      <c r="Q22" s="223">
        <f>(P22-测算模型!$C42)</f>
        <v>0.872</v>
      </c>
      <c r="R22" s="223">
        <f>(Q22-测算模型!$C42)</f>
        <v>0.86499999999999999</v>
      </c>
      <c r="S22" s="223">
        <f>(R22-测算模型!$C42)</f>
        <v>0.85799999999999998</v>
      </c>
      <c r="T22" s="223">
        <f>(S22-测算模型!$C42)</f>
        <v>0.85099999999999998</v>
      </c>
      <c r="U22" s="223">
        <f>(T22-测算模型!$C42)</f>
        <v>0.84399999999999997</v>
      </c>
      <c r="V22" s="224">
        <f>(U22-测算模型!$C42)</f>
        <v>0.83699999999999997</v>
      </c>
    </row>
    <row r="23" spans="1:22" x14ac:dyDescent="0.15">
      <c r="A23" s="221" t="s">
        <v>238</v>
      </c>
      <c r="B23" s="220"/>
      <c r="C23" s="225">
        <f>C21*测算模型!$C$33</f>
        <v>1554.1123959899999</v>
      </c>
      <c r="D23" s="225">
        <f>D21*测算模型!$C$33</f>
        <v>1528.1449483607998</v>
      </c>
      <c r="E23" s="225">
        <f>E21*测算模型!$C$33</f>
        <v>1515.5546707223998</v>
      </c>
      <c r="F23" s="225">
        <f>F21*测算模型!$C$33</f>
        <v>1502.9643930839998</v>
      </c>
      <c r="G23" s="225">
        <f>G21*测算模型!$C$33</f>
        <v>1490.3741154455997</v>
      </c>
      <c r="H23" s="225">
        <f>H21*测算模型!$C$33</f>
        <v>1477.7838378071997</v>
      </c>
      <c r="I23" s="225">
        <f>I21*测算模型!$C$33</f>
        <v>1465.1935601687999</v>
      </c>
      <c r="J23" s="225">
        <f>J21*测算模型!$C$33</f>
        <v>1452.6032825303998</v>
      </c>
      <c r="K23" s="225">
        <f>K21*测算模型!$C$33</f>
        <v>1440.0130048919998</v>
      </c>
      <c r="L23" s="225">
        <f>L21*测算模型!$C$33</f>
        <v>1427.4227272535998</v>
      </c>
      <c r="M23" s="225">
        <f>M21*测算模型!$C$33</f>
        <v>1416.4062343199998</v>
      </c>
      <c r="N23" s="225">
        <f>N21*测算模型!$C$33</f>
        <v>1405.3897413863999</v>
      </c>
      <c r="O23" s="225">
        <f>O21*测算模型!$C$33</f>
        <v>1394.3732484527998</v>
      </c>
      <c r="P23" s="225">
        <f>P21*测算模型!$C$33</f>
        <v>1383.3567555191999</v>
      </c>
      <c r="Q23" s="225">
        <f>Q21*测算模型!$C$33</f>
        <v>1372.3402625855999</v>
      </c>
      <c r="R23" s="225">
        <f>R21*测算模型!$C$33</f>
        <v>1361.3237696519998</v>
      </c>
      <c r="S23" s="225">
        <f>S21*测算模型!$C$33</f>
        <v>1350.3072767183996</v>
      </c>
      <c r="T23" s="225">
        <f>T21*测算模型!$C$33</f>
        <v>1339.2907837847997</v>
      </c>
      <c r="U23" s="225">
        <f>U21*测算模型!$C$33</f>
        <v>1328.2742908511998</v>
      </c>
      <c r="V23" s="226">
        <f>V21*测算模型!$C$33</f>
        <v>1317.2577979175999</v>
      </c>
    </row>
    <row r="24" spans="1:22" x14ac:dyDescent="0.15">
      <c r="A24" s="221" t="s">
        <v>239</v>
      </c>
      <c r="B24" s="220"/>
      <c r="C24" s="225">
        <f>C21*测算模型!$C$34</f>
        <v>1981.1751290099999</v>
      </c>
      <c r="D24" s="225">
        <f>D21*测算模型!$C$34</f>
        <v>1948.0719496391998</v>
      </c>
      <c r="E24" s="225">
        <f>E21*测算模型!$C$34</f>
        <v>1932.0219232775999</v>
      </c>
      <c r="F24" s="225">
        <f>F21*测算模型!$C$34</f>
        <v>1915.9718969159999</v>
      </c>
      <c r="G24" s="225">
        <f>G21*测算模型!$C$34</f>
        <v>1899.9218705543999</v>
      </c>
      <c r="H24" s="225">
        <f>H21*测算模型!$C$34</f>
        <v>1883.8718441927999</v>
      </c>
      <c r="I24" s="225">
        <f>I21*测算模型!$C$34</f>
        <v>1867.8218178311997</v>
      </c>
      <c r="J24" s="225">
        <f>J21*测算模型!$C$34</f>
        <v>1851.7717914695997</v>
      </c>
      <c r="K24" s="225">
        <f>K21*测算模型!$C$34</f>
        <v>1835.7217651079998</v>
      </c>
      <c r="L24" s="225">
        <f>L21*测算模型!$C$34</f>
        <v>1819.6717387463998</v>
      </c>
      <c r="M24" s="225">
        <f>M21*测算模型!$C$34</f>
        <v>1805.6279656799998</v>
      </c>
      <c r="N24" s="225">
        <f>N21*测算模型!$C$34</f>
        <v>1791.5841926135997</v>
      </c>
      <c r="O24" s="225">
        <f>O21*测算模型!$C$34</f>
        <v>1777.5404195471999</v>
      </c>
      <c r="P24" s="225">
        <f>P21*测算模型!$C$34</f>
        <v>1763.4966464807999</v>
      </c>
      <c r="Q24" s="225">
        <f>Q21*测算模型!$C$34</f>
        <v>1749.4528734143998</v>
      </c>
      <c r="R24" s="225">
        <f>R21*测算模型!$C$34</f>
        <v>1735.4091003479996</v>
      </c>
      <c r="S24" s="225">
        <f>S21*测算模型!$C$34</f>
        <v>1721.3653272815998</v>
      </c>
      <c r="T24" s="225">
        <f>T21*测算模型!$C$34</f>
        <v>1707.3215542151997</v>
      </c>
      <c r="U24" s="225">
        <f>U21*测算模型!$C$34</f>
        <v>1693.2777811487997</v>
      </c>
      <c r="V24" s="226">
        <f>V21*测算模型!$C$34</f>
        <v>1679.2340080823997</v>
      </c>
    </row>
    <row r="25" spans="1:22" x14ac:dyDescent="0.15">
      <c r="A25" s="221" t="s">
        <v>240</v>
      </c>
      <c r="B25" s="220"/>
      <c r="C25" s="225">
        <f>C21*测算模型!$AD$5</f>
        <v>0</v>
      </c>
      <c r="D25" s="225">
        <f>D21*测算模型!$AD$6</f>
        <v>0</v>
      </c>
      <c r="E25" s="225">
        <f>E21*测算模型!$AD$7</f>
        <v>0</v>
      </c>
      <c r="F25" s="225">
        <f>F21*测算模型!$AD$8</f>
        <v>0</v>
      </c>
      <c r="G25" s="225">
        <f>G21*测算模型!$AD$9</f>
        <v>0</v>
      </c>
      <c r="H25" s="225">
        <f>H21*测算模型!$AD$10</f>
        <v>0</v>
      </c>
      <c r="I25" s="225">
        <f>I21*测算模型!$AD$11</f>
        <v>0</v>
      </c>
      <c r="J25" s="225">
        <f>J21*测算模型!$AD$12</f>
        <v>0</v>
      </c>
      <c r="K25" s="225">
        <f>K21*测算模型!$AD$13</f>
        <v>0</v>
      </c>
      <c r="L25" s="225">
        <f>L21*测算模型!$AD$14</f>
        <v>0</v>
      </c>
      <c r="M25" s="225">
        <f>M21*测算模型!$AD$15</f>
        <v>0</v>
      </c>
      <c r="N25" s="225">
        <f>N21*测算模型!$AD$16</f>
        <v>0</v>
      </c>
      <c r="O25" s="225">
        <f>O21*测算模型!$AD$17</f>
        <v>0</v>
      </c>
      <c r="P25" s="225">
        <f>P21*测算模型!$AD$18</f>
        <v>0</v>
      </c>
      <c r="Q25" s="225">
        <f>Q21*测算模型!$AD$19</f>
        <v>0</v>
      </c>
      <c r="R25" s="225">
        <f>R21*测算模型!$AD$20</f>
        <v>0</v>
      </c>
      <c r="S25" s="225">
        <f>S21*测算模型!$AD$21</f>
        <v>0</v>
      </c>
      <c r="T25" s="225">
        <f>T21*测算模型!$AD$22</f>
        <v>0</v>
      </c>
      <c r="U25" s="225">
        <f>U21*测算模型!$AD$23</f>
        <v>0</v>
      </c>
      <c r="V25" s="226">
        <f>V21*测算模型!$AD$24</f>
        <v>0</v>
      </c>
    </row>
    <row r="26" spans="1:22" x14ac:dyDescent="0.15">
      <c r="A26" s="221" t="s">
        <v>241</v>
      </c>
      <c r="B26" s="220"/>
      <c r="C26" s="225">
        <f>C27-C28</f>
        <v>0</v>
      </c>
      <c r="D26" s="225">
        <f t="shared" ref="D26:V26" si="6">D27-D28</f>
        <v>0</v>
      </c>
      <c r="E26" s="225">
        <f t="shared" si="6"/>
        <v>0</v>
      </c>
      <c r="F26" s="225">
        <f t="shared" si="6"/>
        <v>0</v>
      </c>
      <c r="G26" s="225">
        <f t="shared" si="6"/>
        <v>18.004495564102854</v>
      </c>
      <c r="H26" s="225">
        <f t="shared" si="6"/>
        <v>488.44569738461541</v>
      </c>
      <c r="I26" s="225">
        <f t="shared" si="6"/>
        <v>484.28428569230766</v>
      </c>
      <c r="J26" s="225">
        <f t="shared" si="6"/>
        <v>480.12287400000002</v>
      </c>
      <c r="K26" s="225">
        <f t="shared" si="6"/>
        <v>475.96146230769227</v>
      </c>
      <c r="L26" s="225">
        <f t="shared" si="6"/>
        <v>471.80005061538463</v>
      </c>
      <c r="M26" s="225">
        <f t="shared" si="6"/>
        <v>468.15881538461542</v>
      </c>
      <c r="N26" s="225">
        <f t="shared" si="6"/>
        <v>464.51758015384621</v>
      </c>
      <c r="O26" s="225">
        <f t="shared" si="6"/>
        <v>460.87634492307689</v>
      </c>
      <c r="P26" s="225">
        <f t="shared" si="6"/>
        <v>457.23510969230767</v>
      </c>
      <c r="Q26" s="225">
        <f t="shared" si="6"/>
        <v>453.59387446153852</v>
      </c>
      <c r="R26" s="225">
        <f t="shared" si="6"/>
        <v>449.95263923076919</v>
      </c>
      <c r="S26" s="225">
        <f t="shared" si="6"/>
        <v>446.31140399999998</v>
      </c>
      <c r="T26" s="225">
        <f t="shared" si="6"/>
        <v>442.67016876923071</v>
      </c>
      <c r="U26" s="225">
        <f t="shared" si="6"/>
        <v>439.0289335384615</v>
      </c>
      <c r="V26" s="226">
        <f t="shared" si="6"/>
        <v>435.38769830769229</v>
      </c>
    </row>
    <row r="27" spans="1:22" x14ac:dyDescent="0.15">
      <c r="A27" s="227" t="s">
        <v>242</v>
      </c>
      <c r="B27" s="220"/>
      <c r="C27" s="225">
        <f>SUM(C23:C25)/1.17*0.17</f>
        <v>513.67425576923085</v>
      </c>
      <c r="D27" s="225">
        <f t="shared" ref="D27:V27" si="7">SUM(D23:D25)/1.17*0.17</f>
        <v>505.09134415384619</v>
      </c>
      <c r="E27" s="225">
        <f t="shared" si="7"/>
        <v>500.9299324615385</v>
      </c>
      <c r="F27" s="225">
        <f t="shared" si="7"/>
        <v>496.76852076923075</v>
      </c>
      <c r="G27" s="225">
        <f>SUM(G23:G25)/1.17*0.17</f>
        <v>492.60710907692311</v>
      </c>
      <c r="H27" s="225">
        <f t="shared" si="7"/>
        <v>488.44569738461541</v>
      </c>
      <c r="I27" s="225">
        <f t="shared" si="7"/>
        <v>484.28428569230766</v>
      </c>
      <c r="J27" s="225">
        <f t="shared" si="7"/>
        <v>480.12287400000002</v>
      </c>
      <c r="K27" s="225">
        <f t="shared" si="7"/>
        <v>475.96146230769227</v>
      </c>
      <c r="L27" s="225">
        <f t="shared" si="7"/>
        <v>471.80005061538463</v>
      </c>
      <c r="M27" s="225">
        <f t="shared" si="7"/>
        <v>468.15881538461542</v>
      </c>
      <c r="N27" s="225">
        <f t="shared" si="7"/>
        <v>464.51758015384621</v>
      </c>
      <c r="O27" s="225">
        <f t="shared" si="7"/>
        <v>460.87634492307689</v>
      </c>
      <c r="P27" s="225">
        <f t="shared" si="7"/>
        <v>457.23510969230767</v>
      </c>
      <c r="Q27" s="225">
        <f t="shared" si="7"/>
        <v>453.59387446153852</v>
      </c>
      <c r="R27" s="225">
        <f t="shared" si="7"/>
        <v>449.95263923076919</v>
      </c>
      <c r="S27" s="225">
        <f t="shared" si="7"/>
        <v>446.31140399999998</v>
      </c>
      <c r="T27" s="225">
        <f t="shared" si="7"/>
        <v>442.67016876923071</v>
      </c>
      <c r="U27" s="225">
        <f t="shared" si="7"/>
        <v>439.0289335384615</v>
      </c>
      <c r="V27" s="226">
        <f t="shared" si="7"/>
        <v>435.38769830769229</v>
      </c>
    </row>
    <row r="28" spans="1:22" x14ac:dyDescent="0.15">
      <c r="A28" s="228" t="s">
        <v>243</v>
      </c>
      <c r="B28" s="229">
        <f>测算模型!$I$40</f>
        <v>2491.0666666666666</v>
      </c>
      <c r="C28" s="217">
        <f>IF(SUM($C$27:C27)&lt;=$B$28,C27,IF(($B$28-SUM($C$27:C27)+C27)&gt;0,$B$28-SUM($C$27:C27)+C27,0))</f>
        <v>513.67425576923085</v>
      </c>
      <c r="D28" s="217">
        <f>IF(SUM($C$27:D27)&lt;=$B$28,D27,IF(($B$28-SUM($C$27:D27)+D27)&gt;0,$B$28-SUM($C$27:D27)+D27,0))</f>
        <v>505.09134415384619</v>
      </c>
      <c r="E28" s="217">
        <f>IF(SUM($C$27:E27)&lt;=$B$28,E27,IF(($B$28-SUM($C$27:E27)+E27)&gt;0,$B$28-SUM($C$27:E27)+E27,0))</f>
        <v>500.9299324615385</v>
      </c>
      <c r="F28" s="217">
        <f>IF(SUM($C$27:F27)&lt;=$B$28,F27,IF(($B$28-SUM($C$27:F27)+F27)&gt;0,$B$28-SUM($C$27:F27)+F27,0))</f>
        <v>496.76852076923075</v>
      </c>
      <c r="G28" s="217">
        <f>IF(SUM($C$27:G27)&lt;=$B$28,G27,IF(($B$28-SUM($C$27:G27)+G27)&gt;0,$B$28-SUM($C$27:G27)+G27,0))</f>
        <v>474.60261351282026</v>
      </c>
      <c r="H28" s="217">
        <f>IF(SUM($C$27:H27)&lt;=$B$28,H27,IF(($B$28-SUM($C$27:H27)+H27)&gt;0,$B$28-SUM($C$27:H27)+H27,0))</f>
        <v>0</v>
      </c>
      <c r="I28" s="217">
        <f>IF(SUM($C$27:I27)&lt;=$B$28,I27,IF(($B$28-SUM($C$27:I27)+I27)&gt;0,$B$28-SUM($C$27:I27)+I27,0))</f>
        <v>0</v>
      </c>
      <c r="J28" s="217">
        <f>IF(SUM($C$27:J27)&lt;=$B$28,J27,IF(($B$28-SUM($C$27:J27)+J27)&gt;0,$B$28-SUM($C$27:J27)+J27,0))</f>
        <v>0</v>
      </c>
      <c r="K28" s="217">
        <f>IF(SUM($C$27:K27)&lt;=$B$28,K27,IF(($B$28-SUM($C$27:K27)+K27)&gt;0,$B$28-SUM($C$27:K27)+K27,0))</f>
        <v>0</v>
      </c>
      <c r="L28" s="217">
        <f>IF(SUM($C$27:L27)&lt;=$B$28,L27,IF(($B$28-SUM($C$27:L27)+L27)&gt;0,$B$28-SUM($C$27:L27)+L27,0))</f>
        <v>0</v>
      </c>
      <c r="M28" s="217">
        <f>IF(SUM($C$27:M27)&lt;=$B$28,M27,IF(($B$28-SUM($C$27:M27)+M27)&gt;0,$B$28-SUM($C$27:M27)+M27,0))</f>
        <v>0</v>
      </c>
      <c r="N28" s="217">
        <f>IF(SUM($C$27:N27)&lt;=$B$28,N27,IF(($B$28-SUM($C$27:N27)+N27)&gt;0,$B$28-SUM($C$27:N27)+N27,0))</f>
        <v>0</v>
      </c>
      <c r="O28" s="217">
        <f>IF(SUM($C$27:O27)&lt;=$B$28,O27,IF(($B$28-SUM($C$27:O27)+O27)&gt;0,$B$28-SUM($C$27:O27)+O27,0))</f>
        <v>0</v>
      </c>
      <c r="P28" s="217">
        <f>IF(SUM($C$27:P27)&lt;=$B$28,P27,IF(($B$28-SUM($C$27:P27)+P27)&gt;0,$B$28-SUM($C$27:P27)+P27,0))</f>
        <v>0</v>
      </c>
      <c r="Q28" s="217">
        <f>IF(SUM($C$27:Q27)&lt;=$B$28,Q27,IF(($B$28-SUM($C$27:Q27)+Q27)&gt;0,$B$28-SUM($C$27:Q27)+Q27,0))</f>
        <v>0</v>
      </c>
      <c r="R28" s="217">
        <f>IF(SUM($C$27:R27)&lt;=$B$28,R27,IF(($B$28-SUM($C$27:R27)+R27)&gt;0,$B$28-SUM($C$27:R27)+R27,0))</f>
        <v>0</v>
      </c>
      <c r="S28" s="217">
        <f>IF(SUM($C$27:S27)&lt;=$B$28,S27,IF(($B$28-SUM($C$27:S27)+S27)&gt;0,$B$28-SUM($C$27:S27)+S27,0))</f>
        <v>0</v>
      </c>
      <c r="T28" s="217">
        <f>IF(SUM($C$27:T27)&lt;=$B$28,T27,IF(($B$28-SUM($C$27:T27)+T27)&gt;0,$B$28-SUM($C$27:T27)+T27,0))</f>
        <v>0</v>
      </c>
      <c r="U28" s="217">
        <f>IF(SUM($C$27:U27)&lt;=$B$28,U27,IF(($B$28-SUM($C$27:U27)+U27)&gt;0,$B$28-SUM($C$27:U27)+U27,0))</f>
        <v>0</v>
      </c>
      <c r="V28" s="218">
        <f>IF(SUM($C$27:V27)&lt;=$B$28,V27,IF(($B$28-SUM($C$27:V27)+V27)&gt;0,$B$28-SUM($C$27:V27)+V27,0))</f>
        <v>0</v>
      </c>
    </row>
    <row r="29" spans="1:22" x14ac:dyDescent="0.15">
      <c r="A29" s="230" t="s">
        <v>244</v>
      </c>
      <c r="B29" s="229"/>
      <c r="C29" s="217">
        <f>C26*测算模型!$I$42</f>
        <v>0</v>
      </c>
      <c r="D29" s="217">
        <f>D26*测算模型!$I$42</f>
        <v>0</v>
      </c>
      <c r="E29" s="217">
        <f>E26*测算模型!$I$42</f>
        <v>0</v>
      </c>
      <c r="F29" s="217">
        <f>F26*测算模型!$I$42</f>
        <v>0</v>
      </c>
      <c r="G29" s="217">
        <f>G26*测算模型!$I$42</f>
        <v>1.8004495564102854</v>
      </c>
      <c r="H29" s="217">
        <f>H26*测算模型!$I$42</f>
        <v>48.844569738461544</v>
      </c>
      <c r="I29" s="217">
        <f>I26*测算模型!$I$42</f>
        <v>48.428428569230768</v>
      </c>
      <c r="J29" s="217">
        <f>J26*测算模型!$I$42</f>
        <v>48.012287400000005</v>
      </c>
      <c r="K29" s="217">
        <f>K26*测算模型!$I$42</f>
        <v>47.596146230769229</v>
      </c>
      <c r="L29" s="217">
        <f>L26*测算模型!$I$42</f>
        <v>47.180005061538466</v>
      </c>
      <c r="M29" s="217">
        <f>M26*测算模型!$I$42</f>
        <v>46.815881538461547</v>
      </c>
      <c r="N29" s="217">
        <f>N26*测算模型!$I$42</f>
        <v>46.451758015384627</v>
      </c>
      <c r="O29" s="217">
        <f>O26*测算模型!$I$42</f>
        <v>46.087634492307693</v>
      </c>
      <c r="P29" s="217">
        <f>P26*测算模型!$I$42</f>
        <v>45.723510969230773</v>
      </c>
      <c r="Q29" s="217">
        <f>Q26*测算模型!$I$42</f>
        <v>45.359387446153853</v>
      </c>
      <c r="R29" s="217">
        <f>R26*测算模型!$I$42</f>
        <v>44.995263923076919</v>
      </c>
      <c r="S29" s="217">
        <f>S26*测算模型!$I$42</f>
        <v>44.6311404</v>
      </c>
      <c r="T29" s="217">
        <f>T26*测算模型!$I$42</f>
        <v>44.267016876923073</v>
      </c>
      <c r="U29" s="217">
        <f>U26*测算模型!$I$42</f>
        <v>43.902893353846153</v>
      </c>
      <c r="V29" s="218">
        <f>V26*测算模型!$I$42</f>
        <v>43.538769830769233</v>
      </c>
    </row>
    <row r="30" spans="1:22" x14ac:dyDescent="0.15">
      <c r="A30" s="221" t="s">
        <v>245</v>
      </c>
      <c r="B30" s="229"/>
      <c r="C30" s="231">
        <f>SUM(C31:C35)</f>
        <v>2459.1050400000004</v>
      </c>
      <c r="D30" s="231">
        <f t="shared" ref="D30:V30" si="8">SUM(D31:D35)</f>
        <v>2468.5550400000006</v>
      </c>
      <c r="E30" s="231">
        <f t="shared" si="8"/>
        <v>2430.4746758498691</v>
      </c>
      <c r="F30" s="231">
        <f t="shared" si="8"/>
        <v>2390.1091494220459</v>
      </c>
      <c r="G30" s="231">
        <f t="shared" si="8"/>
        <v>2347.3283115502632</v>
      </c>
      <c r="H30" s="231">
        <f t="shared" si="8"/>
        <v>2310.3947886606061</v>
      </c>
      <c r="I30" s="231">
        <f t="shared" si="8"/>
        <v>2262.3635870949138</v>
      </c>
      <c r="J30" s="231">
        <f t="shared" si="8"/>
        <v>2211.4816759187797</v>
      </c>
      <c r="K30" s="231">
        <f t="shared" si="8"/>
        <v>2157.5875470488199</v>
      </c>
      <c r="L30" s="231">
        <f t="shared" si="8"/>
        <v>2100.5107514708934</v>
      </c>
      <c r="M30" s="231">
        <f t="shared" si="8"/>
        <v>2049.3114102545846</v>
      </c>
      <c r="N30" s="231">
        <f t="shared" si="8"/>
        <v>1985.3196989992834</v>
      </c>
      <c r="O30" s="231">
        <f t="shared" si="8"/>
        <v>1917.5753042734646</v>
      </c>
      <c r="P30" s="231">
        <f t="shared" si="8"/>
        <v>1845.8668505310516</v>
      </c>
      <c r="Q30" s="231">
        <f t="shared" si="8"/>
        <v>1769.971295906824</v>
      </c>
      <c r="R30" s="231">
        <f t="shared" si="8"/>
        <v>1699.8172952064988</v>
      </c>
      <c r="S30" s="231">
        <f t="shared" si="8"/>
        <v>1614.8285283161181</v>
      </c>
      <c r="T30" s="231">
        <f t="shared" si="8"/>
        <v>1629.9930041656016</v>
      </c>
      <c r="U30" s="231">
        <f t="shared" si="8"/>
        <v>1645.6124142905696</v>
      </c>
      <c r="V30" s="232">
        <f t="shared" si="8"/>
        <v>1661.7004067192865</v>
      </c>
    </row>
    <row r="31" spans="1:22" x14ac:dyDescent="0.15">
      <c r="A31" s="228" t="s">
        <v>321</v>
      </c>
      <c r="B31" s="220"/>
      <c r="C31" s="231">
        <f>测算模型!$I$38/10000*(1+测算模型!$C$37)^(C19-1)</f>
        <v>315</v>
      </c>
      <c r="D31" s="231">
        <f>测算模型!$I$38/10000*(1+测算模型!$C$37)^(D19-1)</f>
        <v>324.45</v>
      </c>
      <c r="E31" s="231">
        <f>测算模型!$I$38/10000*(1+测算模型!$C$37)^(E19-1)</f>
        <v>334.18349999999998</v>
      </c>
      <c r="F31" s="231">
        <f>测算模型!$I$38/10000*(1+测算模型!$C$37)^(F19-1)</f>
        <v>344.20900499999999</v>
      </c>
      <c r="G31" s="231">
        <f>测算模型!$I$38/10000*(1+测算模型!$C$37)^(G19-1)</f>
        <v>354.53527514999996</v>
      </c>
      <c r="H31" s="231">
        <f>测算模型!$I$38/10000*(1+测算模型!$C$37)^(H19-1)</f>
        <v>365.17133340449993</v>
      </c>
      <c r="I31" s="231">
        <f>测算模型!$I$38/10000*(1+测算模型!$C$37)^(I19-1)</f>
        <v>376.126473406635</v>
      </c>
      <c r="J31" s="231">
        <f>测算模型!$I$38/10000*(1+测算模型!$C$37)^(J19-1)</f>
        <v>387.41026760883403</v>
      </c>
      <c r="K31" s="231">
        <f>测算模型!$I$38/10000*(1+测算模型!$C$37)^(K19-1)</f>
        <v>399.032575637099</v>
      </c>
      <c r="L31" s="231">
        <f>测算模型!$I$38/10000*(1+测算模型!$C$37)^(L19-1)</f>
        <v>411.00355290621201</v>
      </c>
      <c r="M31" s="231">
        <f>测算模型!$I$38/10000*(1+测算模型!$C$37)^(M19-1)</f>
        <v>423.33365949339839</v>
      </c>
      <c r="N31" s="231">
        <f>测算模型!$I$38/10000*(1+测算模型!$C$37)^(N19-1)</f>
        <v>436.03366927820031</v>
      </c>
      <c r="O31" s="231">
        <f>测算模型!$I$38/10000*(1+测算模型!$C$37)^(O19-1)</f>
        <v>449.11467935654628</v>
      </c>
      <c r="P31" s="231">
        <f>测算模型!$I$38/10000*(1+测算模型!$C$37)^(P19-1)</f>
        <v>462.58811973724261</v>
      </c>
      <c r="Q31" s="231">
        <f>测算模型!$I$38/10000*(1+测算模型!$C$37)^(Q19-1)</f>
        <v>476.46576332935996</v>
      </c>
      <c r="R31" s="231">
        <f>测算模型!$I$38/10000*(1+测算模型!$C$37)^(R19-1)</f>
        <v>490.75973622924079</v>
      </c>
      <c r="S31" s="231">
        <f>测算模型!$I$38/10000*(1+测算模型!$C$37)^(S19-1)</f>
        <v>505.48252831611791</v>
      </c>
      <c r="T31" s="231">
        <f>测算模型!$I$38/10000*(1+测算模型!$C$37)^(T19-1)</f>
        <v>520.64700416560152</v>
      </c>
      <c r="U31" s="231">
        <f>测算模型!$I$38/10000*(1+测算模型!$C$37)^(U19-1)</f>
        <v>536.26641429056951</v>
      </c>
      <c r="V31" s="232">
        <f>测算模型!$I$38/10000*(1+测算模型!$C$37)^(V19-1)</f>
        <v>552.35440671928654</v>
      </c>
    </row>
    <row r="32" spans="1:22" ht="22.5" x14ac:dyDescent="0.15">
      <c r="A32" s="233" t="s">
        <v>255</v>
      </c>
      <c r="B32" s="220"/>
      <c r="C32" s="225">
        <f>测算模型!Y5/10000</f>
        <v>84</v>
      </c>
      <c r="D32" s="225">
        <f>测算模型!Y6/10000</f>
        <v>84</v>
      </c>
      <c r="E32" s="225">
        <f>测算模型!Y7/10000</f>
        <v>84</v>
      </c>
      <c r="F32" s="225">
        <f>测算模型!Y8/10000</f>
        <v>84</v>
      </c>
      <c r="G32" s="225">
        <f>测算模型!Y9/10000</f>
        <v>84</v>
      </c>
      <c r="H32" s="225">
        <f>测算模型!Y10/10000</f>
        <v>92.4</v>
      </c>
      <c r="I32" s="225">
        <f>测算模型!Y11/10000</f>
        <v>92.4</v>
      </c>
      <c r="J32" s="225">
        <f>测算模型!Y12/10000</f>
        <v>92.4</v>
      </c>
      <c r="K32" s="225">
        <f>测算模型!Y13/10000</f>
        <v>92.4</v>
      </c>
      <c r="L32" s="225">
        <f>测算模型!Y14/10000</f>
        <v>92.4</v>
      </c>
      <c r="M32" s="225">
        <f>测算模型!Y15/10000</f>
        <v>101.64</v>
      </c>
      <c r="N32" s="225">
        <f>测算模型!Y16/10000</f>
        <v>101.64</v>
      </c>
      <c r="O32" s="225">
        <f>测算模型!Y17/10000</f>
        <v>101.64</v>
      </c>
      <c r="P32" s="225">
        <f>测算模型!Y18/10000</f>
        <v>101.64</v>
      </c>
      <c r="Q32" s="225">
        <f>测算模型!Y19/10000</f>
        <v>101.64</v>
      </c>
      <c r="R32" s="225">
        <f>测算模型!Y20/10000</f>
        <v>111.804</v>
      </c>
      <c r="S32" s="225">
        <f>测算模型!Y21/10000</f>
        <v>111.804</v>
      </c>
      <c r="T32" s="225">
        <f>测算模型!Y22/10000</f>
        <v>111.804</v>
      </c>
      <c r="U32" s="225">
        <f>测算模型!Y23/10000</f>
        <v>111.804</v>
      </c>
      <c r="V32" s="226">
        <f>测算模型!Y24/10000</f>
        <v>111.804</v>
      </c>
    </row>
    <row r="33" spans="1:22" x14ac:dyDescent="0.15">
      <c r="A33" s="227" t="s">
        <v>246</v>
      </c>
      <c r="B33" s="220"/>
      <c r="C33" s="225">
        <f>(测算模型!$I$16-测算模型!$I$20-测算模型!$I$21-测算模型!$F$35)/10000*(1-测算模型!$F$18)/测算模型!$F$17</f>
        <v>990.04200000000014</v>
      </c>
      <c r="D33" s="225">
        <f>(测算模型!$I$16-测算模型!$I$20-测算模型!$I$21-测算模型!$F$35)/10000*(1-测算模型!$F$18)/测算模型!$F$17</f>
        <v>990.04200000000014</v>
      </c>
      <c r="E33" s="225">
        <f>(测算模型!$I$16-测算模型!$I$20-测算模型!$I$21-测算模型!$F$35)/10000*(1-测算模型!$F$18)/测算模型!$F$17</f>
        <v>990.04200000000014</v>
      </c>
      <c r="F33" s="225">
        <f>(测算模型!$I$16-测算模型!$I$20-测算模型!$I$21-测算模型!$F$35)/10000*(1-测算模型!$F$18)/测算模型!$F$17</f>
        <v>990.04200000000014</v>
      </c>
      <c r="G33" s="225">
        <f>(测算模型!$I$16-测算模型!$I$20-测算模型!$I$21-测算模型!$F$35)/10000*(1-测算模型!$F$18)/测算模型!$F$17</f>
        <v>990.04200000000014</v>
      </c>
      <c r="H33" s="225">
        <f>(测算模型!$I$16-测算模型!$I$20-测算模型!$I$21-测算模型!$F$35)/10000*(1-测算模型!$F$18)/测算模型!$F$17</f>
        <v>990.04200000000014</v>
      </c>
      <c r="I33" s="225">
        <f>(测算模型!$I$16-测算模型!$I$20-测算模型!$I$21-测算模型!$F$35)/10000*(1-测算模型!$F$18)/测算模型!$F$17</f>
        <v>990.04200000000014</v>
      </c>
      <c r="J33" s="225">
        <f>(测算模型!$I$16-测算模型!$I$20-测算模型!$I$21-测算模型!$F$35)/10000*(1-测算模型!$F$18)/测算模型!$F$17</f>
        <v>990.04200000000014</v>
      </c>
      <c r="K33" s="225">
        <f>(测算模型!$I$16-测算模型!$I$20-测算模型!$I$21-测算模型!$F$35)/10000*(1-测算模型!$F$18)/测算模型!$F$17</f>
        <v>990.04200000000014</v>
      </c>
      <c r="L33" s="225">
        <f>(测算模型!$I$16-测算模型!$I$20-测算模型!$I$21-测算模型!$F$35)/10000*(1-测算模型!$F$18)/测算模型!$F$17</f>
        <v>990.04200000000014</v>
      </c>
      <c r="M33" s="225">
        <f>(测算模型!$I$16-测算模型!$I$20-测算模型!$I$21-测算模型!$F$35)/10000*(1-测算模型!$F$18)/测算模型!$F$17</f>
        <v>990.04200000000014</v>
      </c>
      <c r="N33" s="225">
        <f>(测算模型!$I$16-测算模型!$I$20-测算模型!$I$21-测算模型!$F$35)/10000*(1-测算模型!$F$18)/测算模型!$F$17</f>
        <v>990.04200000000014</v>
      </c>
      <c r="O33" s="225">
        <f>(测算模型!$I$16-测算模型!$I$20-测算模型!$I$21-测算模型!$F$35)/10000*(1-测算模型!$F$18)/测算模型!$F$17</f>
        <v>990.04200000000014</v>
      </c>
      <c r="P33" s="225">
        <f>(测算模型!$I$16-测算模型!$I$20-测算模型!$I$21-测算模型!$F$35)/10000*(1-测算模型!$F$18)/测算模型!$F$17</f>
        <v>990.04200000000014</v>
      </c>
      <c r="Q33" s="225">
        <f>(测算模型!$I$16-测算模型!$I$20-测算模型!$I$21-测算模型!$F$35)/10000*(1-测算模型!$F$18)/测算模型!$F$17</f>
        <v>990.04200000000014</v>
      </c>
      <c r="R33" s="225">
        <f>(测算模型!$I$16-测算模型!$I$20-测算模型!$I$21-测算模型!$F$35)/10000*(1-测算模型!$F$18)/测算模型!$F$17</f>
        <v>990.04200000000014</v>
      </c>
      <c r="S33" s="225">
        <f>(测算模型!$I$16-测算模型!$I$20-测算模型!$I$21-测算模型!$F$35)/10000*(1-测算模型!$F$18)/测算模型!$F$17</f>
        <v>990.04200000000014</v>
      </c>
      <c r="T33" s="225">
        <f>(测算模型!$I$16-测算模型!$I$20-测算模型!$I$21-测算模型!$F$35)/10000*(1-测算模型!$F$18)/测算模型!$F$17</f>
        <v>990.04200000000014</v>
      </c>
      <c r="U33" s="225">
        <f>(测算模型!$I$16-测算模型!$I$20-测算模型!$I$21-测算模型!$F$35)/10000*(1-测算模型!$F$18)/测算模型!$F$17</f>
        <v>990.04200000000014</v>
      </c>
      <c r="V33" s="226">
        <f>(测算模型!$I$16-测算模型!$I$20-测算模型!$I$21-测算模型!$F$35)/10000*(1-测算模型!$F$18)/测算模型!$F$17</f>
        <v>990.04200000000014</v>
      </c>
    </row>
    <row r="34" spans="1:22" x14ac:dyDescent="0.15">
      <c r="A34" s="227" t="s">
        <v>247</v>
      </c>
      <c r="B34" s="229"/>
      <c r="C34" s="217">
        <f>(测算模型!$I$20+测算模型!$I$21)/10000/测算模型!$F$19</f>
        <v>7.5</v>
      </c>
      <c r="D34" s="217">
        <f>(测算模型!$I$20+测算模型!$I$21)/10000/测算模型!$F$19</f>
        <v>7.5</v>
      </c>
      <c r="E34" s="217">
        <f>(测算模型!$I$20+测算模型!$I$21)/10000/测算模型!$F$19</f>
        <v>7.5</v>
      </c>
      <c r="F34" s="217">
        <f>(测算模型!$I$20+测算模型!$I$21)/10000/测算模型!$F$19</f>
        <v>7.5</v>
      </c>
      <c r="G34" s="217">
        <f>(测算模型!$I$20+测算模型!$I$21)/10000/测算模型!$F$19</f>
        <v>7.5</v>
      </c>
      <c r="H34" s="217">
        <f>(测算模型!$I$20+测算模型!$I$21)/10000/测算模型!$F$19</f>
        <v>7.5</v>
      </c>
      <c r="I34" s="217">
        <f>(测算模型!$I$20+测算模型!$I$21)/10000/测算模型!$F$19</f>
        <v>7.5</v>
      </c>
      <c r="J34" s="217">
        <f>(测算模型!$I$20+测算模型!$I$21)/10000/测算模型!$F$19</f>
        <v>7.5</v>
      </c>
      <c r="K34" s="217">
        <f>(测算模型!$I$20+测算模型!$I$21)/10000/测算模型!$F$19</f>
        <v>7.5</v>
      </c>
      <c r="L34" s="217">
        <f>(测算模型!$I$20+测算模型!$I$21)/10000/测算模型!$F$19</f>
        <v>7.5</v>
      </c>
      <c r="M34" s="217">
        <f>(测算模型!$I$20+测算模型!$I$21)/10000/测算模型!$F$19</f>
        <v>7.5</v>
      </c>
      <c r="N34" s="217">
        <f>(测算模型!$I$20+测算模型!$I$21)/10000/测算模型!$F$19</f>
        <v>7.5</v>
      </c>
      <c r="O34" s="217">
        <f>(测算模型!$I$20+测算模型!$I$21)/10000/测算模型!$F$19</f>
        <v>7.5</v>
      </c>
      <c r="P34" s="217">
        <f>(测算模型!$I$20+测算模型!$I$21)/10000/测算模型!$F$19</f>
        <v>7.5</v>
      </c>
      <c r="Q34" s="217">
        <f>(测算模型!$I$20+测算模型!$I$21)/10000/测算模型!$F$19</f>
        <v>7.5</v>
      </c>
      <c r="R34" s="217">
        <f>(测算模型!$I$20+测算模型!$I$21)/10000/测算模型!$F$19</f>
        <v>7.5</v>
      </c>
      <c r="S34" s="217">
        <f>(测算模型!$I$20+测算模型!$I$21)/10000/测算模型!$F$19</f>
        <v>7.5</v>
      </c>
      <c r="T34" s="217">
        <f>(测算模型!$I$20+测算模型!$I$21)/10000/测算模型!$F$19</f>
        <v>7.5</v>
      </c>
      <c r="U34" s="217">
        <f>(测算模型!$I$20+测算模型!$I$21)/10000/测算模型!$F$19</f>
        <v>7.5</v>
      </c>
      <c r="V34" s="218">
        <f>(测算模型!$I$20+测算模型!$I$21)/10000/测算模型!$F$19</f>
        <v>7.5</v>
      </c>
    </row>
    <row r="35" spans="1:22" x14ac:dyDescent="0.15">
      <c r="A35" s="227" t="s">
        <v>248</v>
      </c>
      <c r="B35" s="229"/>
      <c r="C35" s="217">
        <f>IF(测算模型!$F$27="等额本息",'C01'!C8,'C01'!C14)</f>
        <v>1062.5630400000005</v>
      </c>
      <c r="D35" s="217">
        <f>IF(测算模型!$F$27="等额本息",'C01'!D8,'C01'!D14)</f>
        <v>1062.5630400000005</v>
      </c>
      <c r="E35" s="217">
        <f>IF(测算模型!$F$27="等额本息",'C01'!E8,'C01'!E14)</f>
        <v>1014.7491758498692</v>
      </c>
      <c r="F35" s="217">
        <f>IF(测算模型!$F$27="等额本息",'C01'!F8,'C01'!F14)</f>
        <v>964.35814442204583</v>
      </c>
      <c r="G35" s="217">
        <f>IF(测算模型!$F$27="等额本息",'C01'!G8,'C01'!G14)</f>
        <v>911.25103640026293</v>
      </c>
      <c r="H35" s="217">
        <f>IF(测算模型!$F$27="等额本息",'C01'!H8,'C01'!H14)</f>
        <v>855.28145525610591</v>
      </c>
      <c r="I35" s="217">
        <f>IF(测算模型!$F$27="等额本息",'C01'!I8,'C01'!I14)</f>
        <v>796.29511368827878</v>
      </c>
      <c r="J35" s="217">
        <f>IF(测算模型!$F$27="等额本息",'C01'!J8,'C01'!J14)</f>
        <v>734.1294083099458</v>
      </c>
      <c r="K35" s="217">
        <f>IF(测算模型!$F$27="等额本息",'C01'!K8,'C01'!K14)</f>
        <v>668.61297141172065</v>
      </c>
      <c r="L35" s="217">
        <f>IF(测算模型!$F$27="等额本息",'C01'!L8,'C01'!L14)</f>
        <v>599.56519856468117</v>
      </c>
      <c r="M35" s="217">
        <f>IF(测算模型!$F$27="等额本息",'C01'!M8,'C01'!M14)</f>
        <v>526.79575076118624</v>
      </c>
      <c r="N35" s="217">
        <f>IF(测算模型!$F$27="等额本息",'C01'!N8,'C01'!N14)</f>
        <v>450.10402972108295</v>
      </c>
      <c r="O35" s="217">
        <f>IF(测算模型!$F$27="等额本息",'C01'!O8,'C01'!O14)</f>
        <v>369.27862491691809</v>
      </c>
      <c r="P35" s="217">
        <f>IF(测算模型!$F$27="等额本息",'C01'!P8,'C01'!P14)</f>
        <v>284.09673079380877</v>
      </c>
      <c r="Q35" s="217">
        <f>IF(测算模型!$F$27="等额本息",'C01'!Q8,'C01'!Q14)</f>
        <v>194.32353257746382</v>
      </c>
      <c r="R35" s="217">
        <f>IF(测算模型!$F$27="等额本息",'C01'!R8,'C01'!R14)</f>
        <v>99.71155897725788</v>
      </c>
      <c r="S35" s="217"/>
      <c r="T35" s="217"/>
      <c r="U35" s="217"/>
      <c r="V35" s="218"/>
    </row>
    <row r="36" spans="1:22" x14ac:dyDescent="0.15">
      <c r="A36" s="230" t="s">
        <v>249</v>
      </c>
      <c r="B36" s="229"/>
      <c r="C36" s="217">
        <f>C23+C24+C25-C26-C29-C30-C28</f>
        <v>562.50822923076851</v>
      </c>
      <c r="D36" s="217">
        <f t="shared" ref="D36:V36" si="9">D23+D24+D25-D26-D29-D30-D28</f>
        <v>502.57051384615283</v>
      </c>
      <c r="E36" s="217">
        <f t="shared" si="9"/>
        <v>516.17198568859203</v>
      </c>
      <c r="F36" s="217">
        <f t="shared" si="9"/>
        <v>532.05861980872305</v>
      </c>
      <c r="G36" s="217">
        <f>G23+G24+G25-G26-G29-G30-G28</f>
        <v>548.56011581640337</v>
      </c>
      <c r="H36" s="217">
        <f t="shared" si="9"/>
        <v>513.97062621631676</v>
      </c>
      <c r="I36" s="217">
        <f t="shared" si="9"/>
        <v>537.93907664354765</v>
      </c>
      <c r="J36" s="217">
        <f t="shared" si="9"/>
        <v>564.75823668121984</v>
      </c>
      <c r="K36" s="217">
        <f t="shared" si="9"/>
        <v>594.58961441271822</v>
      </c>
      <c r="L36" s="217">
        <f t="shared" si="9"/>
        <v>627.60365885218289</v>
      </c>
      <c r="M36" s="217">
        <f t="shared" si="9"/>
        <v>657.74809282233809</v>
      </c>
      <c r="N36" s="217">
        <f t="shared" si="9"/>
        <v>700.68489683148528</v>
      </c>
      <c r="O36" s="217">
        <f t="shared" si="9"/>
        <v>747.37438431115061</v>
      </c>
      <c r="P36" s="217">
        <f t="shared" si="9"/>
        <v>798.02793080741003</v>
      </c>
      <c r="Q36" s="217">
        <f t="shared" si="9"/>
        <v>852.8685781854831</v>
      </c>
      <c r="R36" s="217">
        <f t="shared" si="9"/>
        <v>901.96767163965433</v>
      </c>
      <c r="S36" s="217">
        <f t="shared" si="9"/>
        <v>965.90153128388147</v>
      </c>
      <c r="T36" s="217">
        <f t="shared" si="9"/>
        <v>929.6821481882439</v>
      </c>
      <c r="U36" s="217">
        <f t="shared" si="9"/>
        <v>893.00783081712234</v>
      </c>
      <c r="V36" s="218">
        <f t="shared" si="9"/>
        <v>855.86493114225186</v>
      </c>
    </row>
    <row r="37" spans="1:22" x14ac:dyDescent="0.15">
      <c r="A37" s="221" t="s">
        <v>250</v>
      </c>
      <c r="B37" s="234"/>
      <c r="C37" s="235">
        <f>IF(C19&lt;=测算模型!$F$22,C36*测算模型!$F$21*0,IF(C19&lt;=(测算模型!$F$22+测算模型!$F$23),C36*测算模型!$F$21/2,C36*测算模型!$F$21))</f>
        <v>0</v>
      </c>
      <c r="D37" s="235">
        <f>IF(D19&lt;=测算模型!$F$22,D36*测算模型!$F$21*0,IF(D19&lt;=(测算模型!$F$22+测算模型!$F$23),D36*测算模型!$F$21/2,D36*测算模型!$F$21))</f>
        <v>0</v>
      </c>
      <c r="E37" s="235">
        <f>IF(E19&lt;=测算模型!$F$22,E36*测算模型!$F$21*0,IF(E19&lt;=(测算模型!$F$22+测算模型!$F$23),E36*测算模型!$F$21/2,E36*测算模型!$F$21))</f>
        <v>64.521498211074004</v>
      </c>
      <c r="F37" s="235">
        <f>IF(F19&lt;=测算模型!$F$22,F36*测算模型!$F$21*0,IF(F19&lt;=(测算模型!$F$22+测算模型!$F$23),F36*测算模型!$F$21/2,F36*测算模型!$F$21))</f>
        <v>66.507327476090381</v>
      </c>
      <c r="G37" s="235">
        <f>IF(G19&lt;=测算模型!$F$22,G36*测算模型!$F$21*0,IF(G19&lt;=(测算模型!$F$22+测算模型!$F$23),G36*测算模型!$F$21/2,G36*测算模型!$F$21))</f>
        <v>68.570014477050421</v>
      </c>
      <c r="H37" s="235">
        <f>IF(H19&lt;=测算模型!$F$22,H36*测算模型!$F$21*0,IF(H19&lt;=(测算模型!$F$22+测算模型!$F$23),H36*测算模型!$F$21/2,H36*测算模型!$F$21))</f>
        <v>128.49265655407919</v>
      </c>
      <c r="I37" s="235">
        <f>IF(I19&lt;=测算模型!$F$22,I36*测算模型!$F$21*0,IF(I19&lt;=(测算模型!$F$22+测算模型!$F$23),I36*测算模型!$F$21/2,I36*测算模型!$F$21))</f>
        <v>134.48476916088691</v>
      </c>
      <c r="J37" s="235">
        <f>IF(J19&lt;=测算模型!$F$22,J36*测算模型!$F$21*0,IF(J19&lt;=(测算模型!$F$22+测算模型!$F$23),J36*测算模型!$F$21/2,J36*测算模型!$F$21))</f>
        <v>141.18955917030496</v>
      </c>
      <c r="K37" s="235">
        <f>IF(K19&lt;=测算模型!$F$22,K36*测算模型!$F$21*0,IF(K19&lt;=(测算模型!$F$22+测算模型!$F$23),K36*测算模型!$F$21/2,K36*测算模型!$F$21))</f>
        <v>148.64740360317955</v>
      </c>
      <c r="L37" s="235">
        <f>IF(L19&lt;=测算模型!$F$22,L36*测算模型!$F$21*0,IF(L19&lt;=(测算模型!$F$22+测算模型!$F$23),L36*测算模型!$F$21/2,L36*测算模型!$F$21))</f>
        <v>156.90091471304572</v>
      </c>
      <c r="M37" s="235">
        <f>IF(M19&lt;=测算模型!$F$22,M36*测算模型!$F$21*0,IF(M19&lt;=(测算模型!$F$22+测算模型!$F$23),M36*测算模型!$F$21/2,M36*测算模型!$F$21))</f>
        <v>164.43702320558452</v>
      </c>
      <c r="N37" s="235">
        <f>IF(N19&lt;=测算模型!$F$22,N36*测算模型!$F$21*0,IF(N19&lt;=(测算模型!$F$22+测算模型!$F$23),N36*测算模型!$F$21/2,N36*测算模型!$F$21))</f>
        <v>175.17122420787132</v>
      </c>
      <c r="O37" s="235">
        <f>IF(O19&lt;=测算模型!$F$22,O36*测算模型!$F$21*0,IF(O19&lt;=(测算模型!$F$22+测算模型!$F$23),O36*测算模型!$F$21/2,O36*测算模型!$F$21))</f>
        <v>186.84359607778765</v>
      </c>
      <c r="P37" s="235">
        <f>IF(P19&lt;=测算模型!$F$22,P36*测算模型!$F$21*0,IF(P19&lt;=(测算模型!$F$22+测算模型!$F$23),P36*测算模型!$F$21/2,P36*测算模型!$F$21))</f>
        <v>199.50698270185251</v>
      </c>
      <c r="Q37" s="235">
        <f>IF(Q19&lt;=测算模型!$F$22,Q36*测算模型!$F$21*0,IF(Q19&lt;=(测算模型!$F$22+测算模型!$F$23),Q36*测算模型!$F$21/2,Q36*测算模型!$F$21))</f>
        <v>213.21714454637078</v>
      </c>
      <c r="R37" s="235">
        <f>IF(R19&lt;=测算模型!$F$22,R36*测算模型!$F$21*0,IF(R19&lt;=(测算模型!$F$22+测算模型!$F$23),R36*测算模型!$F$21/2,R36*测算模型!$F$21))</f>
        <v>225.49191790991358</v>
      </c>
      <c r="S37" s="235">
        <f>IF(S19&lt;=测算模型!$F$22,S36*测算模型!$F$21*0,IF(S19&lt;=(测算模型!$F$22+测算模型!$F$23),S36*测算模型!$F$21/2,S36*测算模型!$F$21))</f>
        <v>241.47538282097037</v>
      </c>
      <c r="T37" s="235">
        <f>IF(T19&lt;=测算模型!$F$22,T36*测算模型!$F$21*0,IF(T19&lt;=(测算模型!$F$22+测算模型!$F$23),T36*测算模型!$F$21/2,T36*测算模型!$F$21))</f>
        <v>232.42053704706098</v>
      </c>
      <c r="U37" s="235">
        <f>IF(U19&lt;=测算模型!$F$22,U36*测算模型!$F$21*0,IF(U19&lt;=(测算模型!$F$22+测算模型!$F$23),U36*测算模型!$F$21/2,U36*测算模型!$F$21))</f>
        <v>223.25195770428058</v>
      </c>
      <c r="V37" s="236">
        <f>IF(V19&lt;=测算模型!$F$22,V36*测算模型!$F$21*0,IF(V19&lt;=(测算模型!$F$22+测算模型!$F$23),V36*测算模型!$F$21/2,V36*测算模型!$F$21))</f>
        <v>213.96623278556297</v>
      </c>
    </row>
    <row r="38" spans="1:22" x14ac:dyDescent="0.15">
      <c r="A38" s="221" t="s">
        <v>251</v>
      </c>
      <c r="B38" s="229"/>
      <c r="C38" s="217">
        <f>C36-C37</f>
        <v>562.50822923076851</v>
      </c>
      <c r="D38" s="217">
        <f t="shared" ref="D38:V38" si="10">D36-D37</f>
        <v>502.57051384615283</v>
      </c>
      <c r="E38" s="217">
        <f t="shared" si="10"/>
        <v>451.65048747751803</v>
      </c>
      <c r="F38" s="217">
        <f t="shared" si="10"/>
        <v>465.55129233263267</v>
      </c>
      <c r="G38" s="217">
        <f t="shared" si="10"/>
        <v>479.99010133935292</v>
      </c>
      <c r="H38" s="217">
        <f t="shared" si="10"/>
        <v>385.47796966223757</v>
      </c>
      <c r="I38" s="217">
        <f t="shared" si="10"/>
        <v>403.45430748266074</v>
      </c>
      <c r="J38" s="217">
        <f t="shared" si="10"/>
        <v>423.56867751091488</v>
      </c>
      <c r="K38" s="217">
        <f t="shared" si="10"/>
        <v>445.94221080953866</v>
      </c>
      <c r="L38" s="217">
        <f t="shared" si="10"/>
        <v>470.70274413913717</v>
      </c>
      <c r="M38" s="217">
        <f t="shared" si="10"/>
        <v>493.31106961675357</v>
      </c>
      <c r="N38" s="217">
        <f t="shared" si="10"/>
        <v>525.51367262361396</v>
      </c>
      <c r="O38" s="217">
        <f t="shared" si="10"/>
        <v>560.53078823336295</v>
      </c>
      <c r="P38" s="217">
        <f t="shared" si="10"/>
        <v>598.52094810555752</v>
      </c>
      <c r="Q38" s="217">
        <f t="shared" si="10"/>
        <v>639.65143363911238</v>
      </c>
      <c r="R38" s="217">
        <f t="shared" si="10"/>
        <v>676.47575372974075</v>
      </c>
      <c r="S38" s="217">
        <f t="shared" si="10"/>
        <v>724.4261484629111</v>
      </c>
      <c r="T38" s="217">
        <f t="shared" si="10"/>
        <v>697.26161114118293</v>
      </c>
      <c r="U38" s="217">
        <f t="shared" si="10"/>
        <v>669.75587311284175</v>
      </c>
      <c r="V38" s="218">
        <f t="shared" si="10"/>
        <v>641.8986983566889</v>
      </c>
    </row>
    <row r="39" spans="1:22" x14ac:dyDescent="0.15">
      <c r="A39" s="221" t="s">
        <v>322</v>
      </c>
      <c r="B39" s="229"/>
      <c r="C39" s="249">
        <f>C30/C21</f>
        <v>0.69558841327905874</v>
      </c>
      <c r="D39" s="249">
        <f t="shared" ref="D39:V39" si="11">D30/D21</f>
        <v>0.71012687425236742</v>
      </c>
      <c r="E39" s="249">
        <f t="shared" si="11"/>
        <v>0.70498061742261309</v>
      </c>
      <c r="F39" s="249">
        <f t="shared" si="11"/>
        <v>0.69907975659354749</v>
      </c>
      <c r="G39" s="249">
        <f t="shared" si="11"/>
        <v>0.69236677896071563</v>
      </c>
      <c r="H39" s="249">
        <f t="shared" si="11"/>
        <v>0.68727883139002766</v>
      </c>
      <c r="I39" s="249">
        <f t="shared" si="11"/>
        <v>0.67877382205552905</v>
      </c>
      <c r="J39" s="249">
        <f t="shared" si="11"/>
        <v>0.66925867263662209</v>
      </c>
      <c r="K39" s="249">
        <f t="shared" si="11"/>
        <v>0.65865758327217083</v>
      </c>
      <c r="L39" s="249">
        <f t="shared" si="11"/>
        <v>0.64688932627773255</v>
      </c>
      <c r="M39" s="249">
        <f t="shared" si="11"/>
        <v>0.63603030975108366</v>
      </c>
      <c r="N39" s="249">
        <f t="shared" si="11"/>
        <v>0.62099965154088232</v>
      </c>
      <c r="O39" s="249">
        <f t="shared" si="11"/>
        <v>0.60454839096631574</v>
      </c>
      <c r="P39" s="249">
        <f t="shared" si="11"/>
        <v>0.58657541827588822</v>
      </c>
      <c r="Q39" s="249">
        <f t="shared" si="11"/>
        <v>0.56697264001762615</v>
      </c>
      <c r="R39" s="249">
        <f t="shared" si="11"/>
        <v>0.54890665955520379</v>
      </c>
      <c r="S39" s="249">
        <f t="shared" si="11"/>
        <v>0.52571635603783196</v>
      </c>
      <c r="T39" s="249">
        <f t="shared" si="11"/>
        <v>0.53501818522655831</v>
      </c>
      <c r="U39" s="249">
        <f t="shared" si="11"/>
        <v>0.54462487326962405</v>
      </c>
      <c r="V39" s="250">
        <f t="shared" si="11"/>
        <v>0.55454862362446478</v>
      </c>
    </row>
    <row r="40" spans="1:22" ht="14.25" customHeight="1" x14ac:dyDescent="0.15">
      <c r="A40" s="237" t="s">
        <v>252</v>
      </c>
      <c r="B40" s="229"/>
      <c r="C40" s="217">
        <f>C36+C35</f>
        <v>1625.0712692307688</v>
      </c>
      <c r="D40" s="217">
        <f t="shared" ref="D40:V40" si="12">D36+D35</f>
        <v>1565.1335538461533</v>
      </c>
      <c r="E40" s="217">
        <f t="shared" si="12"/>
        <v>1530.9211615384611</v>
      </c>
      <c r="F40" s="217">
        <f t="shared" si="12"/>
        <v>1496.4167642307689</v>
      </c>
      <c r="G40" s="217">
        <f t="shared" si="12"/>
        <v>1459.8111522166664</v>
      </c>
      <c r="H40" s="217">
        <f t="shared" si="12"/>
        <v>1369.2520814724226</v>
      </c>
      <c r="I40" s="217">
        <f t="shared" si="12"/>
        <v>1334.2341903318265</v>
      </c>
      <c r="J40" s="217">
        <f t="shared" si="12"/>
        <v>1298.8876449911656</v>
      </c>
      <c r="K40" s="217">
        <f t="shared" si="12"/>
        <v>1263.2025858244388</v>
      </c>
      <c r="L40" s="217">
        <f t="shared" si="12"/>
        <v>1227.1688574168641</v>
      </c>
      <c r="M40" s="217">
        <f t="shared" si="12"/>
        <v>1184.5438435835244</v>
      </c>
      <c r="N40" s="217">
        <f t="shared" si="12"/>
        <v>1150.7889265525682</v>
      </c>
      <c r="O40" s="217">
        <f t="shared" si="12"/>
        <v>1116.6530092280686</v>
      </c>
      <c r="P40" s="217">
        <f t="shared" si="12"/>
        <v>1082.1246616012188</v>
      </c>
      <c r="Q40" s="217">
        <f t="shared" si="12"/>
        <v>1047.1921107629469</v>
      </c>
      <c r="R40" s="217">
        <f t="shared" si="12"/>
        <v>1001.6792306169123</v>
      </c>
      <c r="S40" s="217">
        <f t="shared" si="12"/>
        <v>965.90153128388147</v>
      </c>
      <c r="T40" s="217">
        <f t="shared" si="12"/>
        <v>929.6821481882439</v>
      </c>
      <c r="U40" s="217">
        <f t="shared" si="12"/>
        <v>893.00783081712234</v>
      </c>
      <c r="V40" s="218">
        <f t="shared" si="12"/>
        <v>855.86493114225186</v>
      </c>
    </row>
    <row r="41" spans="1:22" ht="15" customHeight="1" x14ac:dyDescent="0.15">
      <c r="A41" s="238" t="s">
        <v>253</v>
      </c>
      <c r="B41" s="239"/>
      <c r="C41" s="240">
        <f>C40+C33+C34-C37</f>
        <v>2622.6132692307692</v>
      </c>
      <c r="D41" s="240">
        <f t="shared" ref="D41:V41" si="13">D40+D33+D34-D37</f>
        <v>2562.6755538461534</v>
      </c>
      <c r="E41" s="240">
        <f t="shared" si="13"/>
        <v>2463.9416633273877</v>
      </c>
      <c r="F41" s="240">
        <f t="shared" si="13"/>
        <v>2427.4514367546785</v>
      </c>
      <c r="G41" s="240">
        <f t="shared" si="13"/>
        <v>2388.7831377396164</v>
      </c>
      <c r="H41" s="240">
        <f t="shared" si="13"/>
        <v>2238.3014249183434</v>
      </c>
      <c r="I41" s="240">
        <f t="shared" si="13"/>
        <v>2197.2914211709399</v>
      </c>
      <c r="J41" s="240">
        <f t="shared" si="13"/>
        <v>2155.2400858208607</v>
      </c>
      <c r="K41" s="240">
        <f t="shared" si="13"/>
        <v>2112.0971822212596</v>
      </c>
      <c r="L41" s="240">
        <f t="shared" si="13"/>
        <v>2067.8099427038187</v>
      </c>
      <c r="M41" s="240">
        <f t="shared" si="13"/>
        <v>2017.64882037794</v>
      </c>
      <c r="N41" s="240">
        <f t="shared" si="13"/>
        <v>1973.1597023446973</v>
      </c>
      <c r="O41" s="240">
        <f t="shared" si="13"/>
        <v>1927.3514131502809</v>
      </c>
      <c r="P41" s="240">
        <f t="shared" si="13"/>
        <v>1880.1596788993666</v>
      </c>
      <c r="Q41" s="240">
        <f t="shared" si="13"/>
        <v>1831.5169662165763</v>
      </c>
      <c r="R41" s="240">
        <f t="shared" si="13"/>
        <v>1773.7293127069988</v>
      </c>
      <c r="S41" s="240">
        <f t="shared" si="13"/>
        <v>1721.9681484629114</v>
      </c>
      <c r="T41" s="240">
        <f t="shared" si="13"/>
        <v>1694.803611141183</v>
      </c>
      <c r="U41" s="240">
        <f t="shared" si="13"/>
        <v>1667.2978731128419</v>
      </c>
      <c r="V41" s="241">
        <f t="shared" si="13"/>
        <v>1639.4406983566892</v>
      </c>
    </row>
    <row r="42" spans="1:22" ht="15" customHeight="1" x14ac:dyDescent="0.15">
      <c r="A42" s="187"/>
      <c r="B42" s="188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</row>
    <row r="43" spans="1:22" x14ac:dyDescent="0.15">
      <c r="A43" s="189" t="s">
        <v>275</v>
      </c>
      <c r="B43" s="12"/>
    </row>
    <row r="44" spans="1:22" ht="15" x14ac:dyDescent="0.15">
      <c r="A44" s="158" t="s">
        <v>274</v>
      </c>
      <c r="B44" s="11">
        <v>0</v>
      </c>
      <c r="C44" s="11">
        <v>1</v>
      </c>
      <c r="D44" s="11">
        <v>2</v>
      </c>
      <c r="E44" s="11">
        <v>3</v>
      </c>
      <c r="F44" s="11">
        <v>4</v>
      </c>
      <c r="G44" s="11">
        <v>5</v>
      </c>
      <c r="H44" s="11">
        <v>6</v>
      </c>
      <c r="I44" s="11">
        <v>7</v>
      </c>
      <c r="J44" s="11">
        <v>8</v>
      </c>
      <c r="K44" s="11">
        <v>9</v>
      </c>
      <c r="L44" s="11">
        <v>10</v>
      </c>
      <c r="M44" s="11">
        <v>11</v>
      </c>
      <c r="N44" s="11">
        <v>12</v>
      </c>
      <c r="O44" s="11">
        <v>13</v>
      </c>
      <c r="P44" s="11">
        <v>14</v>
      </c>
      <c r="Q44" s="11">
        <v>15</v>
      </c>
      <c r="R44" s="11">
        <v>16</v>
      </c>
      <c r="S44" s="11">
        <v>17</v>
      </c>
      <c r="T44" s="11">
        <v>18</v>
      </c>
      <c r="U44" s="11">
        <v>19</v>
      </c>
      <c r="V44" s="11">
        <v>20</v>
      </c>
    </row>
    <row r="45" spans="1:22" x14ac:dyDescent="0.15">
      <c r="A45" s="17" t="s">
        <v>256</v>
      </c>
      <c r="B45" s="160">
        <f>SUM(B46:B49)</f>
        <v>0</v>
      </c>
      <c r="C45" s="160">
        <f>SUM(C46:C49)</f>
        <v>1424.6030296575</v>
      </c>
      <c r="D45" s="160">
        <f t="shared" ref="D45:V45" si="14">SUM(D46:D49)</f>
        <v>4972.5379935692999</v>
      </c>
      <c r="E45" s="160">
        <f t="shared" si="14"/>
        <v>3452.6382903936001</v>
      </c>
      <c r="F45" s="160">
        <f t="shared" si="14"/>
        <v>3423.9979863935996</v>
      </c>
      <c r="G45" s="160">
        <f t="shared" si="14"/>
        <v>3395.3576823935996</v>
      </c>
      <c r="H45" s="160">
        <f t="shared" si="14"/>
        <v>3366.7173783935996</v>
      </c>
      <c r="I45" s="160">
        <f t="shared" si="14"/>
        <v>3338.0770743936</v>
      </c>
      <c r="J45" s="160">
        <f t="shared" si="14"/>
        <v>3309.4367703935995</v>
      </c>
      <c r="K45" s="160">
        <f t="shared" si="14"/>
        <v>3280.7964663936</v>
      </c>
      <c r="L45" s="160">
        <f t="shared" si="14"/>
        <v>3252.1561623935995</v>
      </c>
      <c r="M45" s="160">
        <f t="shared" si="14"/>
        <v>3226.4631843443995</v>
      </c>
      <c r="N45" s="160">
        <f t="shared" si="14"/>
        <v>3201.4029183443995</v>
      </c>
      <c r="O45" s="160">
        <f t="shared" si="14"/>
        <v>3176.3426523443995</v>
      </c>
      <c r="P45" s="160">
        <f t="shared" si="14"/>
        <v>3151.2823863444</v>
      </c>
      <c r="Q45" s="160">
        <f t="shared" si="14"/>
        <v>3126.2221203443996</v>
      </c>
      <c r="R45" s="160">
        <f t="shared" si="14"/>
        <v>3101.1618543443992</v>
      </c>
      <c r="S45" s="160">
        <f t="shared" si="14"/>
        <v>3076.1015883443997</v>
      </c>
      <c r="T45" s="160">
        <f t="shared" si="14"/>
        <v>3051.0413223443993</v>
      </c>
      <c r="U45" s="160">
        <f t="shared" si="14"/>
        <v>3025.9810563443998</v>
      </c>
      <c r="V45" s="160">
        <f t="shared" si="14"/>
        <v>5709.594108858133</v>
      </c>
    </row>
    <row r="46" spans="1:22" x14ac:dyDescent="0.15">
      <c r="A46" s="165" t="s">
        <v>257</v>
      </c>
      <c r="B46" s="159"/>
      <c r="C46" s="160">
        <f>C23*(12-测算模型!$F$39)/12</f>
        <v>1424.6030296575</v>
      </c>
      <c r="D46" s="160">
        <f>C23*测算模型!$F$39/12+D23*(12-测算模型!$F$39)/12</f>
        <v>1530.3089023298999</v>
      </c>
      <c r="E46" s="160">
        <f>D23*测算模型!$F$39/12+E23*(12-测算模型!$F$39)/12</f>
        <v>1516.6038605255999</v>
      </c>
      <c r="F46" s="160">
        <f>E23*测算模型!$F$39/12+F23*(12-测算模型!$F$39)/12</f>
        <v>1504.0135828871996</v>
      </c>
      <c r="G46" s="160">
        <f>F23*测算模型!$F$39/12+G23*(12-测算模型!$F$39)/12</f>
        <v>1491.4233052487998</v>
      </c>
      <c r="H46" s="160">
        <f>G23*测算模型!$F$39/12+H23*(12-测算模型!$F$39)/12</f>
        <v>1478.8330276103998</v>
      </c>
      <c r="I46" s="160">
        <f>H23*测算模型!$F$39/12+I23*(12-测算模型!$F$39)/12</f>
        <v>1466.242749972</v>
      </c>
      <c r="J46" s="160">
        <f>I23*测算模型!$F$39/12+J23*(12-测算模型!$F$39)/12</f>
        <v>1453.6524723335997</v>
      </c>
      <c r="K46" s="160">
        <f>J23*测算模型!$F$39/12+K23*(12-测算模型!$F$39)/12</f>
        <v>1441.0621946951999</v>
      </c>
      <c r="L46" s="160">
        <f>K23*测算模型!$F$39/12+L23*(12-测算模型!$F$39)/12</f>
        <v>1428.4719170567998</v>
      </c>
      <c r="M46" s="160">
        <f>L23*测算模型!$F$39/12+M23*(12-测算模型!$F$39)/12</f>
        <v>1417.3242753977997</v>
      </c>
      <c r="N46" s="160">
        <f>M23*测算模型!$F$39/12+N23*(12-测算模型!$F$39)/12</f>
        <v>1406.3077824641998</v>
      </c>
      <c r="O46" s="160">
        <f>N23*测算模型!$F$39/12+O23*(12-测算模型!$F$39)/12</f>
        <v>1395.2912895305997</v>
      </c>
      <c r="P46" s="160">
        <f>O23*测算模型!$F$39/12+P23*(12-测算模型!$F$39)/12</f>
        <v>1384.2747965969997</v>
      </c>
      <c r="Q46" s="160">
        <f>P23*测算模型!$F$39/12+Q23*(12-测算模型!$F$39)/12</f>
        <v>1373.2583036634001</v>
      </c>
      <c r="R46" s="160">
        <f>Q23*测算模型!$F$39/12+R23*(12-测算模型!$F$39)/12</f>
        <v>1362.2418107297997</v>
      </c>
      <c r="S46" s="160">
        <f>R23*测算模型!$F$39/12+S23*(12-测算模型!$F$39)/12</f>
        <v>1351.2253177961998</v>
      </c>
      <c r="T46" s="160">
        <f>S23*测算模型!$F$39/12+T23*(12-测算模型!$F$39)/12</f>
        <v>1340.2088248625996</v>
      </c>
      <c r="U46" s="160">
        <f>T23*测算模型!$F$39/12+U23*(12-测算模型!$F$39)/12</f>
        <v>1329.1923319289999</v>
      </c>
      <c r="V46" s="160">
        <f>U23*测算模型!$F$39/12+V23</f>
        <v>1427.9473221551998</v>
      </c>
    </row>
    <row r="47" spans="1:22" x14ac:dyDescent="0.15">
      <c r="A47" s="165" t="s">
        <v>239</v>
      </c>
      <c r="B47" s="159"/>
      <c r="C47" s="160"/>
      <c r="D47" s="160">
        <f>C24+D24*(12-测算模型!$F$41)/12</f>
        <v>3442.2290912394001</v>
      </c>
      <c r="E47" s="160">
        <f>D24*测算模型!$F$41/12+E24*(12-测算模型!$F$41)/12</f>
        <v>1936.034429868</v>
      </c>
      <c r="F47" s="160">
        <f>E24*测算模型!$F$41/12+F24*(12-测算模型!$F$41)/12</f>
        <v>1919.9844035063998</v>
      </c>
      <c r="G47" s="160">
        <f>F24*测算模型!$F$41/12+G24*(12-测算模型!$F$41)/12</f>
        <v>1903.9343771447998</v>
      </c>
      <c r="H47" s="160">
        <f>G24*测算模型!$F$41/12+H24*(12-测算模型!$F$41)/12</f>
        <v>1887.8843507831998</v>
      </c>
      <c r="I47" s="160">
        <f>H24*测算模型!$F$41/12+I24*(12-测算模型!$F$41)/12</f>
        <v>1871.8343244215998</v>
      </c>
      <c r="J47" s="160">
        <f>I24*测算模型!$F$41/12+J24*(12-测算模型!$F$41)/12</f>
        <v>1855.7842980599996</v>
      </c>
      <c r="K47" s="160">
        <f>J24*测算模型!$F$41/12+K24*(12-测算模型!$F$41)/12</f>
        <v>1839.7342716983999</v>
      </c>
      <c r="L47" s="160">
        <f>K24*测算模型!$F$41/12+L24*(12-测算模型!$F$41)/12</f>
        <v>1823.6842453367999</v>
      </c>
      <c r="M47" s="160">
        <f>L24*测算模型!$F$41/12+M24*(12-测算模型!$F$41)/12</f>
        <v>1809.1389089465997</v>
      </c>
      <c r="N47" s="160">
        <f>M24*测算模型!$F$41/12+N24*(12-测算模型!$F$41)/12</f>
        <v>1795.0951358801997</v>
      </c>
      <c r="O47" s="160">
        <f>N24*测算模型!$F$41/12+O24*(12-测算模型!$F$41)/12</f>
        <v>1781.0513628137999</v>
      </c>
      <c r="P47" s="160">
        <f>O24*测算模型!$F$41/12+P24*(12-测算模型!$F$41)/12</f>
        <v>1767.0075897474001</v>
      </c>
      <c r="Q47" s="160">
        <f>P24*测算模型!$F$41/12+Q24*(12-测算模型!$F$41)/12</f>
        <v>1752.9638166809998</v>
      </c>
      <c r="R47" s="160">
        <f>Q24*测算模型!$F$41/12+R24*(12-测算模型!$F$41)/12</f>
        <v>1738.9200436145995</v>
      </c>
      <c r="S47" s="160">
        <f>R24*测算模型!$F$41/12+S24*(12-测算模型!$F$41)/12</f>
        <v>1724.8762705481997</v>
      </c>
      <c r="T47" s="160">
        <f>S24*测算模型!$F$41/12+T24*(12-测算模型!$F$41)/12</f>
        <v>1710.8324974817997</v>
      </c>
      <c r="U47" s="160">
        <f>T24*测算模型!$F$41/12+U24*(12-测算模型!$F$41)/12</f>
        <v>1696.7887244153999</v>
      </c>
      <c r="V47" s="160">
        <f>U24*测算模型!$F$41/12+V24</f>
        <v>2102.5534533695995</v>
      </c>
    </row>
    <row r="48" spans="1:22" x14ac:dyDescent="0.15">
      <c r="A48" s="165" t="s">
        <v>258</v>
      </c>
      <c r="B48" s="160"/>
      <c r="C48" s="160">
        <f>C25*(12-测算模型!$F$42)/12</f>
        <v>0</v>
      </c>
      <c r="D48" s="160">
        <f>C25*测算模型!$F$42/12+D25*(12-测算模型!$F$42)/12</f>
        <v>0</v>
      </c>
      <c r="E48" s="160">
        <f>D25*测算模型!$F$42/12+E25*(12-测算模型!$F$42)/12</f>
        <v>0</v>
      </c>
      <c r="F48" s="160">
        <f>E25*测算模型!$F$42/12+F25*(12-测算模型!$F$42)/12</f>
        <v>0</v>
      </c>
      <c r="G48" s="160">
        <f>F25*测算模型!$F$42/12+G25*(12-测算模型!$F$42)/12</f>
        <v>0</v>
      </c>
      <c r="H48" s="160">
        <f>G25*测算模型!$F$42/12+H25*(12-测算模型!$F$42)/12</f>
        <v>0</v>
      </c>
      <c r="I48" s="160">
        <f>H25*测算模型!$F$42/12+I25*(12-测算模型!$F$42)/12</f>
        <v>0</v>
      </c>
      <c r="J48" s="160">
        <f>I25*测算模型!$F$42/12+J25*(12-测算模型!$F$42)/12</f>
        <v>0</v>
      </c>
      <c r="K48" s="160">
        <f>J25*测算模型!$F$42/12+K25*(12-测算模型!$F$42)/12</f>
        <v>0</v>
      </c>
      <c r="L48" s="160">
        <f>K25*测算模型!$F$42/12+L25*(12-测算模型!$F$42)/12</f>
        <v>0</v>
      </c>
      <c r="M48" s="160">
        <f>L25*测算模型!$F$42/12+M25*(12-测算模型!$F$42)/12</f>
        <v>0</v>
      </c>
      <c r="N48" s="160">
        <f>M25*测算模型!$F$42/12+N25*(12-测算模型!$F$42)/12</f>
        <v>0</v>
      </c>
      <c r="O48" s="160">
        <f>N25*测算模型!$F$42/12+O25*(12-测算模型!$F$42)/12</f>
        <v>0</v>
      </c>
      <c r="P48" s="160">
        <f>O25*测算模型!$F$42/12+P25*(12-测算模型!$F$42)/12</f>
        <v>0</v>
      </c>
      <c r="Q48" s="160">
        <f>P25*测算模型!$F$42/12+Q25*(12-测算模型!$F$42)/12</f>
        <v>0</v>
      </c>
      <c r="R48" s="160">
        <f>Q25*测算模型!$F$42/12+R25*(12-测算模型!$F$42)/12</f>
        <v>0</v>
      </c>
      <c r="S48" s="160">
        <f>R25*测算模型!$F$42/12+S25*(12-测算模型!$F$42)/12</f>
        <v>0</v>
      </c>
      <c r="T48" s="160">
        <f>S25*测算模型!$F$42/12+T25*(12-测算模型!$F$42)/12</f>
        <v>0</v>
      </c>
      <c r="U48" s="160">
        <f>T25*测算模型!$F$42/12+U25*(12-测算模型!$F$42)/12</f>
        <v>0</v>
      </c>
      <c r="V48" s="160">
        <f>U25*测算模型!$F$42/12+V25</f>
        <v>0</v>
      </c>
    </row>
    <row r="49" spans="1:22" x14ac:dyDescent="0.15">
      <c r="A49" s="165" t="s">
        <v>259</v>
      </c>
      <c r="B49" s="161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>
        <f>(测算模型!$I$16-测算模型!$I$20-测算模型!$I$21-测算模型!$I$36-测算模型!$F$35)/10000*测算模型!$F$18</f>
        <v>2179.0933333333337</v>
      </c>
    </row>
    <row r="50" spans="1:22" x14ac:dyDescent="0.15">
      <c r="A50" s="166" t="s">
        <v>260</v>
      </c>
      <c r="B50" s="168">
        <f>SUM(B51:B55)</f>
        <v>24432.000000000004</v>
      </c>
      <c r="C50" s="168">
        <f>SUM(C51:C55)</f>
        <v>399</v>
      </c>
      <c r="D50" s="168">
        <f t="shared" ref="D50:V50" si="15">SUM(D51:D55)</f>
        <v>408.45</v>
      </c>
      <c r="E50" s="168">
        <f t="shared" si="15"/>
        <v>610.72989519230759</v>
      </c>
      <c r="F50" s="168">
        <f t="shared" si="15"/>
        <v>616.44235052884608</v>
      </c>
      <c r="G50" s="168">
        <f t="shared" si="15"/>
        <v>641.99786429759638</v>
      </c>
      <c r="H50" s="168">
        <f t="shared" si="15"/>
        <v>1339.5371208956826</v>
      </c>
      <c r="I50" s="168">
        <f t="shared" si="15"/>
        <v>1337.16023525113</v>
      </c>
      <c r="J50" s="168">
        <f t="shared" si="15"/>
        <v>1335.0298402566254</v>
      </c>
      <c r="K50" s="168">
        <f t="shared" si="15"/>
        <v>1333.1533306316703</v>
      </c>
      <c r="L50" s="168">
        <f t="shared" si="15"/>
        <v>1331.538322937351</v>
      </c>
      <c r="M50" s="168">
        <f t="shared" si="15"/>
        <v>1338.4468173123564</v>
      </c>
      <c r="N50" s="168">
        <f t="shared" si="15"/>
        <v>1338.7027390855733</v>
      </c>
      <c r="O50" s="168">
        <f t="shared" si="15"/>
        <v>1339.2444110789481</v>
      </c>
      <c r="P50" s="168">
        <f t="shared" si="15"/>
        <v>1340.0804057990858</v>
      </c>
      <c r="Q50" s="168">
        <f t="shared" si="15"/>
        <v>1341.219552927789</v>
      </c>
      <c r="R50" s="168">
        <f t="shared" si="15"/>
        <v>1350.2939470373149</v>
      </c>
      <c r="S50" s="168">
        <f t="shared" si="15"/>
        <v>1352.0669555370882</v>
      </c>
      <c r="T50" s="168">
        <f t="shared" si="15"/>
        <v>1354.171226858816</v>
      </c>
      <c r="U50" s="168">
        <f t="shared" si="15"/>
        <v>1356.6166988871578</v>
      </c>
      <c r="V50" s="168">
        <f t="shared" si="15"/>
        <v>1359.4136076433108</v>
      </c>
    </row>
    <row r="51" spans="1:22" x14ac:dyDescent="0.15">
      <c r="A51" s="165" t="s">
        <v>261</v>
      </c>
      <c r="B51" s="162">
        <f>(测算模型!$I$16-测算模型!$I$36)/10000</f>
        <v>24432.000000000004</v>
      </c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</row>
    <row r="52" spans="1:22" x14ac:dyDescent="0.15">
      <c r="A52" s="165" t="s">
        <v>321</v>
      </c>
      <c r="B52" s="160"/>
      <c r="C52" s="160">
        <f>C31</f>
        <v>315</v>
      </c>
      <c r="D52" s="160">
        <f t="shared" ref="D52:V52" si="16">D31</f>
        <v>324.45</v>
      </c>
      <c r="E52" s="160">
        <f t="shared" si="16"/>
        <v>334.18349999999998</v>
      </c>
      <c r="F52" s="160">
        <f t="shared" si="16"/>
        <v>344.20900499999999</v>
      </c>
      <c r="G52" s="160">
        <f t="shared" si="16"/>
        <v>354.53527514999996</v>
      </c>
      <c r="H52" s="160">
        <f t="shared" si="16"/>
        <v>365.17133340449993</v>
      </c>
      <c r="I52" s="160">
        <f t="shared" si="16"/>
        <v>376.126473406635</v>
      </c>
      <c r="J52" s="160">
        <f t="shared" si="16"/>
        <v>387.41026760883403</v>
      </c>
      <c r="K52" s="160">
        <f t="shared" si="16"/>
        <v>399.032575637099</v>
      </c>
      <c r="L52" s="160">
        <f t="shared" si="16"/>
        <v>411.00355290621201</v>
      </c>
      <c r="M52" s="160">
        <f t="shared" si="16"/>
        <v>423.33365949339839</v>
      </c>
      <c r="N52" s="160">
        <f t="shared" si="16"/>
        <v>436.03366927820031</v>
      </c>
      <c r="O52" s="160">
        <f t="shared" si="16"/>
        <v>449.11467935654628</v>
      </c>
      <c r="P52" s="160">
        <f t="shared" si="16"/>
        <v>462.58811973724261</v>
      </c>
      <c r="Q52" s="160">
        <f t="shared" si="16"/>
        <v>476.46576332935996</v>
      </c>
      <c r="R52" s="160">
        <f t="shared" si="16"/>
        <v>490.75973622924079</v>
      </c>
      <c r="S52" s="160">
        <f t="shared" si="16"/>
        <v>505.48252831611791</v>
      </c>
      <c r="T52" s="160">
        <f t="shared" si="16"/>
        <v>520.64700416560152</v>
      </c>
      <c r="U52" s="160">
        <f t="shared" si="16"/>
        <v>536.26641429056951</v>
      </c>
      <c r="V52" s="160">
        <f t="shared" si="16"/>
        <v>552.35440671928654</v>
      </c>
    </row>
    <row r="53" spans="1:22" x14ac:dyDescent="0.15">
      <c r="A53" s="165" t="s">
        <v>326</v>
      </c>
      <c r="B53" s="160"/>
      <c r="C53" s="160">
        <f>测算模型!L39/10000</f>
        <v>84</v>
      </c>
      <c r="D53" s="160">
        <f>测算模型!M39/10000</f>
        <v>84</v>
      </c>
      <c r="E53" s="160">
        <f>测算模型!N39/10000</f>
        <v>84</v>
      </c>
      <c r="F53" s="160">
        <f>测算模型!O39/10000</f>
        <v>84</v>
      </c>
      <c r="G53" s="160">
        <f>测算模型!P39/10000</f>
        <v>84</v>
      </c>
      <c r="H53" s="160">
        <f>测算模型!Q39/10000</f>
        <v>92.4</v>
      </c>
      <c r="I53" s="160">
        <f>测算模型!R39/10000</f>
        <v>92.4</v>
      </c>
      <c r="J53" s="160">
        <f>测算模型!S39/10000</f>
        <v>92.4</v>
      </c>
      <c r="K53" s="160">
        <f>测算模型!T39/10000</f>
        <v>92.4</v>
      </c>
      <c r="L53" s="160">
        <f>测算模型!U39/10000</f>
        <v>92.4</v>
      </c>
      <c r="M53" s="160">
        <f>测算模型!L41/10000</f>
        <v>101.64000000000003</v>
      </c>
      <c r="N53" s="160">
        <f>测算模型!M41/10000</f>
        <v>101.64000000000003</v>
      </c>
      <c r="O53" s="160">
        <f>测算模型!N41/10000</f>
        <v>101.64000000000003</v>
      </c>
      <c r="P53" s="160">
        <f>测算模型!O41/10000</f>
        <v>101.64000000000003</v>
      </c>
      <c r="Q53" s="160">
        <f>测算模型!P41/10000</f>
        <v>101.64000000000003</v>
      </c>
      <c r="R53" s="160">
        <f>测算模型!Q41/10000</f>
        <v>111.80400000000002</v>
      </c>
      <c r="S53" s="160">
        <f>测算模型!R41/10000</f>
        <v>111.80400000000002</v>
      </c>
      <c r="T53" s="160">
        <f>测算模型!S41/10000</f>
        <v>111.80400000000002</v>
      </c>
      <c r="U53" s="160">
        <f>测算模型!T41/10000</f>
        <v>111.80400000000002</v>
      </c>
      <c r="V53" s="160">
        <f>测算模型!U41/10000</f>
        <v>111.80400000000002</v>
      </c>
    </row>
    <row r="54" spans="1:22" x14ac:dyDescent="0.15">
      <c r="A54" s="165" t="s">
        <v>262</v>
      </c>
      <c r="B54" s="159"/>
      <c r="C54" s="160">
        <f>C26+C29</f>
        <v>0</v>
      </c>
      <c r="D54" s="160">
        <f t="shared" ref="D54:V54" si="17">D26+D29</f>
        <v>0</v>
      </c>
      <c r="E54" s="160">
        <f t="shared" si="17"/>
        <v>0</v>
      </c>
      <c r="F54" s="160">
        <f t="shared" si="17"/>
        <v>0</v>
      </c>
      <c r="G54" s="160">
        <f t="shared" si="17"/>
        <v>19.804945120513139</v>
      </c>
      <c r="H54" s="160">
        <f t="shared" si="17"/>
        <v>537.290267123077</v>
      </c>
      <c r="I54" s="160">
        <f t="shared" si="17"/>
        <v>532.71271426153839</v>
      </c>
      <c r="J54" s="160">
        <f t="shared" si="17"/>
        <v>528.13516140000002</v>
      </c>
      <c r="K54" s="160">
        <f t="shared" si="17"/>
        <v>523.55760853846152</v>
      </c>
      <c r="L54" s="160">
        <f t="shared" si="17"/>
        <v>518.98005567692314</v>
      </c>
      <c r="M54" s="160">
        <f t="shared" si="17"/>
        <v>514.97469692307698</v>
      </c>
      <c r="N54" s="160">
        <f t="shared" si="17"/>
        <v>510.96933816923081</v>
      </c>
      <c r="O54" s="160">
        <f t="shared" si="17"/>
        <v>506.96397941538459</v>
      </c>
      <c r="P54" s="160">
        <f t="shared" si="17"/>
        <v>502.95862066153848</v>
      </c>
      <c r="Q54" s="160">
        <f t="shared" si="17"/>
        <v>498.95326190769237</v>
      </c>
      <c r="R54" s="160">
        <f t="shared" si="17"/>
        <v>494.94790315384614</v>
      </c>
      <c r="S54" s="160">
        <f t="shared" si="17"/>
        <v>490.94254439999997</v>
      </c>
      <c r="T54" s="160">
        <f t="shared" si="17"/>
        <v>486.93718564615381</v>
      </c>
      <c r="U54" s="160">
        <f t="shared" si="17"/>
        <v>482.93182689230764</v>
      </c>
      <c r="V54" s="160">
        <f t="shared" si="17"/>
        <v>478.92646813846153</v>
      </c>
    </row>
    <row r="55" spans="1:22" x14ac:dyDescent="0.15">
      <c r="A55" s="167" t="s">
        <v>263</v>
      </c>
      <c r="B55" s="159"/>
      <c r="C55" s="160">
        <f>((C23+C24+C25-C26-C28-C29-C31-C32-(测算模型!$I$16-测算模型!$I$20-测算模型!$I$21-测算模型!$I$36-测算模型!$F$35)/10000*(1-测算模型!$F$18)/测算模型!$F$17-(测算模型!$I$20+测算模型!$I$21)/10000/测算模型!$F$19))*IF(C44&lt;=测算模型!$F$22,测算模型!$F$21*0,IF(C44&lt;=(测算模型!$F$22+测算模型!$F$23),测算模型!$F$21/2,测算模型!$F$21))</f>
        <v>0</v>
      </c>
      <c r="D55" s="160">
        <f>((D23+D24+D25-D26-D28-D29-D31-D32-(测算模型!$I$16-测算模型!$I$20-测算模型!$I$21-测算模型!$I$36-测算模型!$F$35)/10000*(1-测算模型!$F$18)/测算模型!$F$17-(测算模型!$I$20+测算模型!$I$21)/10000/测算模型!$F$19))*IF(D44&lt;=测算模型!$F$22,测算模型!$F$21*0,IF(D44&lt;=(测算模型!$F$22+测算模型!$F$23),测算模型!$F$21/2,测算模型!$F$21))</f>
        <v>0</v>
      </c>
      <c r="E55" s="160">
        <f>((E23+E24+E25-E26-E28-E29-E31-E32-(测算模型!$I$16-测算模型!$I$20-测算模型!$I$21-测算模型!$I$36-测算模型!$F$35)/10000*(1-测算模型!$F$18)/测算模型!$F$17-(测算模型!$I$20+测算模型!$I$21)/10000/测算模型!$F$19))*IF(E44&lt;=测算模型!$F$22,测算模型!$F$21*0,IF(E44&lt;=(测算模型!$F$22+测算模型!$F$23),测算模型!$F$21/2,测算模型!$F$21))</f>
        <v>192.54639519230761</v>
      </c>
      <c r="F55" s="160">
        <f>((F23+F24+F25-F26-F28-F29-F31-F32-(测算模型!$I$16-测算模型!$I$20-测算模型!$I$21-测算模型!$I$36-测算模型!$F$35)/10000*(1-测算模型!$F$18)/测算模型!$F$17-(测算模型!$I$20+测算模型!$I$21)/10000/测算模型!$F$19))*IF(F44&lt;=测算模型!$F$22,测算模型!$F$21*0,IF(F44&lt;=(测算模型!$F$22+测算模型!$F$23),测算模型!$F$21/2,测算模型!$F$21))</f>
        <v>188.23334552884609</v>
      </c>
      <c r="G55" s="160">
        <f>((G23+G24+G25-G26-G28-G29-G31-G32-(测算模型!$I$16-测算模型!$I$20-测算模型!$I$21-测算模型!$I$36-测算模型!$F$35)/10000*(1-测算模型!$F$18)/测算模型!$F$17-(测算模型!$I$20+测算模型!$I$21)/10000/测算模型!$F$19))*IF(G44&lt;=测算模型!$F$22,测算模型!$F$21*0,IF(G44&lt;=(测算模型!$F$22+测算模型!$F$23),测算模型!$F$21/2,测算模型!$F$21))</f>
        <v>183.65764402708328</v>
      </c>
      <c r="H55" s="160">
        <f>((H23+H24+H25-H26-H28-H29-H31-H32-(测算模型!$I$16-测算模型!$I$20-测算模型!$I$21-测算模型!$I$36-测算模型!$F$35)/10000*(1-测算模型!$F$18)/测算模型!$F$17-(测算模型!$I$20+测算模型!$I$21)/10000/测算模型!$F$19))*IF(H44&lt;=测算模型!$F$22,测算模型!$F$21*0,IF(H44&lt;=(测算模型!$F$22+测算模型!$F$23),测算模型!$F$21/2,测算模型!$F$21))</f>
        <v>344.67552036810571</v>
      </c>
      <c r="I55" s="160">
        <f>((I23+I24+I25-I26-I28-I29-I31-I32-(测算模型!$I$16-测算模型!$I$20-测算模型!$I$21-测算模型!$I$36-测算模型!$F$35)/10000*(1-测算模型!$F$18)/测算模型!$F$17-(测算模型!$I$20+测算模型!$I$21)/10000/测算模型!$F$19))*IF(I44&lt;=测算模型!$F$22,测算模型!$F$21*0,IF(I44&lt;=(测算模型!$F$22+测算模型!$F$23),测算模型!$F$21/2,测算模型!$F$21))</f>
        <v>335.92104758295659</v>
      </c>
      <c r="J55" s="160">
        <f>((J23+J24+J25-J26-J28-J29-J31-J32-(测算模型!$I$16-测算模型!$I$20-测算模型!$I$21-测算模型!$I$36-测算模型!$F$35)/10000*(1-测算模型!$F$18)/测算模型!$F$17-(测算模型!$I$20+测算模型!$I$21)/10000/测算模型!$F$19))*IF(J44&lt;=测算模型!$F$22,测算模型!$F$21*0,IF(J44&lt;=(测算模型!$F$22+测算模型!$F$23),测算模型!$F$21/2,测算模型!$F$21))</f>
        <v>327.08441124779131</v>
      </c>
      <c r="K55" s="160">
        <f>((K23+K24+K25-K26-K28-K29-K31-K32-(测算模型!$I$16-测算模型!$I$20-测算模型!$I$21-测算模型!$I$36-测算模型!$F$35)/10000*(1-测算模型!$F$18)/测算模型!$F$17-(测算模型!$I$20+测算模型!$I$21)/10000/测算模型!$F$19))*IF(K44&lt;=测算模型!$F$22,测算模型!$F$21*0,IF(K44&lt;=(测算模型!$F$22+测算模型!$F$23),测算模型!$F$21/2,测算模型!$F$21))</f>
        <v>318.16314645610976</v>
      </c>
      <c r="L55" s="160">
        <f>((L23+L24+L25-L26-L28-L29-L31-L32-(测算模型!$I$16-测算模型!$I$20-测算模型!$I$21-测算模型!$I$36-测算模型!$F$35)/10000*(1-测算模型!$F$18)/测算模型!$F$17-(测算模型!$I$20+测算模型!$I$21)/10000/测算模型!$F$19))*IF(L44&lt;=测算模型!$F$22,测算模型!$F$21*0,IF(L44&lt;=(测算模型!$F$22+测算模型!$F$23),测算模型!$F$21/2,测算模型!$F$21))</f>
        <v>309.15471435421603</v>
      </c>
      <c r="M55" s="160">
        <f>((M23+M24+M25-M26-M28-M29-M31-M32-(测算模型!$I$16-测算模型!$I$20-测算模型!$I$21-测算模型!$I$36-测算模型!$F$35)/10000*(1-测算模型!$F$18)/测算模型!$F$17-(测算模型!$I$20+测算模型!$I$21)/10000/测算模型!$F$19))*IF(M44&lt;=测算模型!$F$22,测算模型!$F$21*0,IF(M44&lt;=(测算模型!$F$22+测算模型!$F$23),测算模型!$F$21/2,测算模型!$F$21))</f>
        <v>298.49846089588107</v>
      </c>
      <c r="N55" s="160">
        <f>((N23+N24+N25-N26-N28-N29-N31-N32-(测算模型!$I$16-测算模型!$I$20-测算模型!$I$21-测算模型!$I$36-测算模型!$F$35)/10000*(1-测算模型!$F$18)/测算模型!$F$17-(测算模型!$I$20+测算模型!$I$21)/10000/测算模型!$F$19))*IF(N44&lt;=测算模型!$F$22,测算模型!$F$21*0,IF(N44&lt;=(测算模型!$F$22+测算模型!$F$23),测算模型!$F$21/2,测算模型!$F$21))</f>
        <v>290.05973163814213</v>
      </c>
      <c r="O55" s="160">
        <f>((O23+O24+O25-O26-O28-O29-O31-O32-(测算模型!$I$16-测算模型!$I$20-测算模型!$I$21-测算模型!$I$36-测算模型!$F$35)/10000*(1-测算模型!$F$18)/测算模型!$F$17-(测算模型!$I$20+测算模型!$I$21)/10000/测算模型!$F$19))*IF(O44&lt;=测算模型!$F$22,测算模型!$F$21*0,IF(O44&lt;=(测算模型!$F$22+测算模型!$F$23),测算模型!$F$21/2,测算模型!$F$21))</f>
        <v>281.52575230701723</v>
      </c>
      <c r="P55" s="160">
        <f>((P23+P24+P25-P26-P28-P29-P31-P32-(测算模型!$I$16-测算模型!$I$20-测算模型!$I$21-测算模型!$I$36-测算模型!$F$35)/10000*(1-测算模型!$F$18)/测算模型!$F$17-(测算模型!$I$20+测算模型!$I$21)/10000/测算模型!$F$19))*IF(P44&lt;=测算模型!$F$22,测算模型!$F$21*0,IF(P44&lt;=(测算模型!$F$22+测算模型!$F$23),测算模型!$F$21/2,测算模型!$F$21))</f>
        <v>272.89366540030471</v>
      </c>
      <c r="Q55" s="160">
        <f>((Q23+Q24+Q25-Q26-Q28-Q29-Q31-Q32-(测算模型!$I$16-测算模型!$I$20-测算模型!$I$21-测算模型!$I$36-测算模型!$F$35)/10000*(1-测算模型!$F$18)/测算模型!$F$17-(测算模型!$I$20+测算模型!$I$21)/10000/测算模型!$F$19))*IF(Q44&lt;=测算模型!$F$22,测算模型!$F$21*0,IF(Q44&lt;=(测算模型!$F$22+测算模型!$F$23),测算模型!$F$21/2,测算模型!$F$21))</f>
        <v>264.16052769073667</v>
      </c>
      <c r="R55" s="160">
        <f>((R23+R24+R25-R26-R28-R29-R31-R32-(测算模型!$I$16-测算模型!$I$20-测算模型!$I$21-测算模型!$I$36-测算模型!$F$35)/10000*(1-测算模型!$F$18)/测算模型!$F$17-(测算模型!$I$20+测算模型!$I$21)/10000/测算模型!$F$19))*IF(R44&lt;=测算模型!$F$22,测算模型!$F$21*0,IF(R44&lt;=(测算模型!$F$22+测算模型!$F$23),测算模型!$F$21/2,测算模型!$F$21))</f>
        <v>252.78230765422799</v>
      </c>
      <c r="S55" s="160">
        <f>((S23+S24+S25-S26-S28-S29-S31-S32-(测算模型!$I$16-测算模型!$I$20-测算模型!$I$21-测算模型!$I$36-测算模型!$F$35)/10000*(1-测算模型!$F$18)/测算模型!$F$17-(测算模型!$I$20+测算模型!$I$21)/10000/测算模型!$F$19))*IF(S44&lt;=测算模型!$F$22,测算模型!$F$21*0,IF(S44&lt;=(测算模型!$F$22+测算模型!$F$23),测算模型!$F$21/2,测算模型!$F$21))</f>
        <v>243.83788282097029</v>
      </c>
      <c r="T55" s="160">
        <f>((T23+T24+T25-T26-T28-T29-T31-T32-(测算模型!$I$16-测算模型!$I$20-测算模型!$I$21-测算模型!$I$36-测算模型!$F$35)/10000*(1-测算模型!$F$18)/测算模型!$F$17-(测算模型!$I$20+测算模型!$I$21)/10000/测算模型!$F$19))*IF(T44&lt;=测算模型!$F$22,测算模型!$F$21*0,IF(T44&lt;=(测算模型!$F$22+测算模型!$F$23),测算模型!$F$21/2,测算模型!$F$21))</f>
        <v>234.7830370470609</v>
      </c>
      <c r="U55" s="160">
        <f>((U23+U24+U25-U26-U28-U29-U31-U32-(测算模型!$I$16-测算模型!$I$20-测算模型!$I$21-测算模型!$I$36-测算模型!$F$35)/10000*(1-测算模型!$F$18)/测算模型!$F$17-(测算模型!$I$20+测算模型!$I$21)/10000/测算模型!$F$19))*IF(U44&lt;=测算模型!$F$22,测算模型!$F$21*0,IF(U44&lt;=(测算模型!$F$22+测算模型!$F$23),测算模型!$F$21/2,测算模型!$F$21))</f>
        <v>225.61445770428051</v>
      </c>
      <c r="V55" s="160">
        <f>((V23+V24+V25-V26-V28-V29-V31-V32-(测算模型!$I$16-测算模型!$I$20-测算模型!$I$21-测算模型!$I$36-测算模型!$F$35)/10000*(1-测算模型!$F$18)/测算模型!$F$17-(测算模型!$I$20+测算模型!$I$21)/10000/测算模型!$F$19))*IF(V44&lt;=测算模型!$F$22,测算模型!$F$21*0,IF(V44&lt;=(测算模型!$F$22+测算模型!$F$23),测算模型!$F$21/2,测算模型!$F$21))</f>
        <v>216.32873278556289</v>
      </c>
    </row>
    <row r="56" spans="1:22" x14ac:dyDescent="0.15">
      <c r="A56" s="166" t="s">
        <v>264</v>
      </c>
      <c r="B56" s="212">
        <f>B45-B50</f>
        <v>-24432.000000000004</v>
      </c>
      <c r="C56" s="212">
        <f>C45-C50</f>
        <v>1025.6030296575</v>
      </c>
      <c r="D56" s="212">
        <f t="shared" ref="D56:V56" si="18">D45-D50</f>
        <v>4564.0879935693001</v>
      </c>
      <c r="E56" s="212">
        <f t="shared" si="18"/>
        <v>2841.9083952012925</v>
      </c>
      <c r="F56" s="212">
        <f t="shared" si="18"/>
        <v>2807.5556358647536</v>
      </c>
      <c r="G56" s="212">
        <f t="shared" si="18"/>
        <v>2753.3598180960034</v>
      </c>
      <c r="H56" s="212">
        <f t="shared" si="18"/>
        <v>2027.180257497917</v>
      </c>
      <c r="I56" s="212">
        <f t="shared" si="18"/>
        <v>2000.9168391424701</v>
      </c>
      <c r="J56" s="212">
        <f t="shared" si="18"/>
        <v>1974.4069301369741</v>
      </c>
      <c r="K56" s="212">
        <f t="shared" si="18"/>
        <v>1947.6431357619297</v>
      </c>
      <c r="L56" s="212">
        <f t="shared" si="18"/>
        <v>1920.6178394562485</v>
      </c>
      <c r="M56" s="212">
        <f t="shared" si="18"/>
        <v>1888.016367032043</v>
      </c>
      <c r="N56" s="212">
        <f t="shared" si="18"/>
        <v>1862.7001792588262</v>
      </c>
      <c r="O56" s="212">
        <f t="shared" si="18"/>
        <v>1837.0982412654514</v>
      </c>
      <c r="P56" s="212">
        <f t="shared" si="18"/>
        <v>1811.2019805453142</v>
      </c>
      <c r="Q56" s="212">
        <f t="shared" si="18"/>
        <v>1785.0025674166106</v>
      </c>
      <c r="R56" s="212">
        <f t="shared" si="18"/>
        <v>1750.8679073070844</v>
      </c>
      <c r="S56" s="212">
        <f t="shared" si="18"/>
        <v>1724.0346328073115</v>
      </c>
      <c r="T56" s="212">
        <f t="shared" si="18"/>
        <v>1696.8700954855833</v>
      </c>
      <c r="U56" s="212">
        <f t="shared" si="18"/>
        <v>1669.364357457242</v>
      </c>
      <c r="V56" s="212">
        <f t="shared" si="18"/>
        <v>4350.1805012148225</v>
      </c>
    </row>
    <row r="57" spans="1:22" x14ac:dyDescent="0.15">
      <c r="A57" s="13"/>
      <c r="B57" s="163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</row>
    <row r="58" spans="1:22" ht="15" x14ac:dyDescent="0.15">
      <c r="A58" s="14"/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</row>
    <row r="59" spans="1:22" x14ac:dyDescent="0.15">
      <c r="A59" s="190" t="s">
        <v>276</v>
      </c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2" ht="15" x14ac:dyDescent="0.15">
      <c r="A60" s="158" t="s">
        <v>274</v>
      </c>
      <c r="B60" s="11">
        <v>0</v>
      </c>
      <c r="C60" s="11">
        <v>1</v>
      </c>
      <c r="D60" s="11">
        <v>2</v>
      </c>
      <c r="E60" s="11">
        <v>3</v>
      </c>
      <c r="F60" s="11">
        <v>4</v>
      </c>
      <c r="G60" s="11">
        <v>5</v>
      </c>
      <c r="H60" s="11">
        <v>6</v>
      </c>
      <c r="I60" s="11">
        <v>7</v>
      </c>
      <c r="J60" s="11">
        <v>8</v>
      </c>
      <c r="K60" s="11">
        <v>9</v>
      </c>
      <c r="L60" s="11">
        <v>10</v>
      </c>
      <c r="M60" s="11">
        <v>11</v>
      </c>
      <c r="N60" s="11">
        <v>12</v>
      </c>
      <c r="O60" s="11">
        <v>13</v>
      </c>
      <c r="P60" s="11">
        <v>14</v>
      </c>
      <c r="Q60" s="11">
        <v>15</v>
      </c>
      <c r="R60" s="11">
        <v>16</v>
      </c>
      <c r="S60" s="11">
        <v>17</v>
      </c>
      <c r="T60" s="11">
        <v>18</v>
      </c>
      <c r="U60" s="11">
        <v>19</v>
      </c>
      <c r="V60" s="11">
        <v>20</v>
      </c>
    </row>
    <row r="61" spans="1:22" x14ac:dyDescent="0.15">
      <c r="A61" s="170" t="s">
        <v>265</v>
      </c>
      <c r="B61" s="191">
        <f>SUM(B62:B65)</f>
        <v>0</v>
      </c>
      <c r="C61" s="191">
        <f t="shared" ref="C61:V61" si="19">SUM(C62:C65)</f>
        <v>1424.6030296575</v>
      </c>
      <c r="D61" s="191">
        <f t="shared" si="19"/>
        <v>4972.5379935692999</v>
      </c>
      <c r="E61" s="191">
        <f t="shared" si="19"/>
        <v>3452.6382903936001</v>
      </c>
      <c r="F61" s="191">
        <f t="shared" si="19"/>
        <v>3423.9979863935996</v>
      </c>
      <c r="G61" s="191">
        <f t="shared" si="19"/>
        <v>3395.3576823935996</v>
      </c>
      <c r="H61" s="191">
        <f t="shared" si="19"/>
        <v>3366.7173783935996</v>
      </c>
      <c r="I61" s="191">
        <f t="shared" si="19"/>
        <v>3338.0770743936</v>
      </c>
      <c r="J61" s="191">
        <f t="shared" si="19"/>
        <v>3309.4367703935995</v>
      </c>
      <c r="K61" s="191">
        <f t="shared" si="19"/>
        <v>3280.7964663936</v>
      </c>
      <c r="L61" s="191">
        <f t="shared" si="19"/>
        <v>3252.1561623935995</v>
      </c>
      <c r="M61" s="191">
        <f t="shared" si="19"/>
        <v>3226.4631843443995</v>
      </c>
      <c r="N61" s="191">
        <f t="shared" si="19"/>
        <v>3201.4029183443995</v>
      </c>
      <c r="O61" s="191">
        <f t="shared" si="19"/>
        <v>3176.3426523443995</v>
      </c>
      <c r="P61" s="191">
        <f t="shared" si="19"/>
        <v>3151.2823863444</v>
      </c>
      <c r="Q61" s="191">
        <f t="shared" si="19"/>
        <v>3126.2221203443996</v>
      </c>
      <c r="R61" s="191">
        <f t="shared" si="19"/>
        <v>3101.1618543443992</v>
      </c>
      <c r="S61" s="191">
        <f t="shared" si="19"/>
        <v>3076.1015883443997</v>
      </c>
      <c r="T61" s="191">
        <f t="shared" si="19"/>
        <v>3051.0413223443993</v>
      </c>
      <c r="U61" s="191">
        <f t="shared" si="19"/>
        <v>3025.9810563443998</v>
      </c>
      <c r="V61" s="191">
        <f t="shared" si="19"/>
        <v>5730.594108858133</v>
      </c>
    </row>
    <row r="62" spans="1:22" x14ac:dyDescent="0.15">
      <c r="A62" s="165" t="s">
        <v>257</v>
      </c>
      <c r="B62" s="173"/>
      <c r="C62" s="173">
        <f>C23*(12-测算模型!$F$39)/12</f>
        <v>1424.6030296575</v>
      </c>
      <c r="D62" s="173">
        <f>C23*测算模型!$F$39/12+D23*(12-测算模型!$F$39)/12</f>
        <v>1530.3089023298999</v>
      </c>
      <c r="E62" s="173">
        <f>D23*测算模型!$F$39/12+E23*(12-测算模型!$F$39)/12</f>
        <v>1516.6038605255999</v>
      </c>
      <c r="F62" s="173">
        <f>E23*测算模型!$F$39/12+F23*(12-测算模型!$F$39)/12</f>
        <v>1504.0135828871996</v>
      </c>
      <c r="G62" s="173">
        <f>F23*测算模型!$F$39/12+G23*(12-测算模型!$F$39)/12</f>
        <v>1491.4233052487998</v>
      </c>
      <c r="H62" s="173">
        <f>G23*测算模型!$F$39/12+H23*(12-测算模型!$F$39)/12</f>
        <v>1478.8330276103998</v>
      </c>
      <c r="I62" s="173">
        <f>H23*测算模型!$F$39/12+I23*(12-测算模型!$F$39)/12</f>
        <v>1466.242749972</v>
      </c>
      <c r="J62" s="173">
        <f>I23*测算模型!$F$39/12+J23*(12-测算模型!$F$39)/12</f>
        <v>1453.6524723335997</v>
      </c>
      <c r="K62" s="173">
        <f>J23*测算模型!$F$39/12+K23*(12-测算模型!$F$39)/12</f>
        <v>1441.0621946951999</v>
      </c>
      <c r="L62" s="173">
        <f>K23*测算模型!$F$39/12+L23*(12-测算模型!$F$39)/12</f>
        <v>1428.4719170567998</v>
      </c>
      <c r="M62" s="173">
        <f>L23*测算模型!$F$39/12+M23*(12-测算模型!$F$39)/12</f>
        <v>1417.3242753977997</v>
      </c>
      <c r="N62" s="173">
        <f>M23*测算模型!$F$39/12+N23*(12-测算模型!$F$39)/12</f>
        <v>1406.3077824641998</v>
      </c>
      <c r="O62" s="173">
        <f>N23*测算模型!$F$39/12+O23*(12-测算模型!$F$39)/12</f>
        <v>1395.2912895305997</v>
      </c>
      <c r="P62" s="173">
        <f>O23*测算模型!$F$39/12+P23*(12-测算模型!$F$39)/12</f>
        <v>1384.2747965969997</v>
      </c>
      <c r="Q62" s="173">
        <f>P23*测算模型!$F$39/12+Q23*(12-测算模型!$F$39)/12</f>
        <v>1373.2583036634001</v>
      </c>
      <c r="R62" s="173">
        <f>Q23*测算模型!$F$39/12+R23*(12-测算模型!$F$39)/12</f>
        <v>1362.2418107297997</v>
      </c>
      <c r="S62" s="173">
        <f>R23*测算模型!$F$39/12+S23*(12-测算模型!$F$39)/12</f>
        <v>1351.2253177961998</v>
      </c>
      <c r="T62" s="173">
        <f>S23*测算模型!$F$39/12+T23*(12-测算模型!$F$39)/12</f>
        <v>1340.2088248625996</v>
      </c>
      <c r="U62" s="173">
        <f>T23*测算模型!$F$39/12+U23*(12-测算模型!$F$39)/12</f>
        <v>1329.1923319289999</v>
      </c>
      <c r="V62" s="173">
        <f>U23*测算模型!$F$39/12+V23</f>
        <v>1427.9473221551998</v>
      </c>
    </row>
    <row r="63" spans="1:22" x14ac:dyDescent="0.15">
      <c r="A63" s="165" t="s">
        <v>239</v>
      </c>
      <c r="B63" s="173"/>
      <c r="C63" s="173">
        <f>IF((测算模型!$F$40/12)&lt;C60,C24*(12-测算模型!$F$40)/12,0)</f>
        <v>0</v>
      </c>
      <c r="D63" s="173">
        <f>IF((测算模型!$F$40/12&lt;=D44),(SUM($C$24:C24)+D24*(12-测算模型!$F$41)/12),0)</f>
        <v>3442.2290912394001</v>
      </c>
      <c r="E63" s="173">
        <f>D24*测算模型!$F$41/12+E24*(12-测算模型!$F$41)/12</f>
        <v>1936.034429868</v>
      </c>
      <c r="F63" s="173">
        <f>E24*测算模型!$F$41/12+F24*(12-测算模型!$F$41)/12</f>
        <v>1919.9844035063998</v>
      </c>
      <c r="G63" s="173">
        <f>F24*测算模型!$F$41/12+G24*(12-测算模型!$F$41)/12</f>
        <v>1903.9343771447998</v>
      </c>
      <c r="H63" s="173">
        <f>G24*测算模型!$F$41/12+H24*(12-测算模型!$F$41)/12</f>
        <v>1887.8843507831998</v>
      </c>
      <c r="I63" s="173">
        <f>H24*测算模型!$F$41/12+I24*(12-测算模型!$F$41)/12</f>
        <v>1871.8343244215998</v>
      </c>
      <c r="J63" s="173">
        <f>I24*测算模型!$F$41/12+J24*(12-测算模型!$F$41)/12</f>
        <v>1855.7842980599996</v>
      </c>
      <c r="K63" s="173">
        <f>J24*测算模型!$F$41/12+K24*(12-测算模型!$F$41)/12</f>
        <v>1839.7342716983999</v>
      </c>
      <c r="L63" s="173">
        <f>K24*测算模型!$F$41/12+L24*(12-测算模型!$F$41)/12</f>
        <v>1823.6842453367999</v>
      </c>
      <c r="M63" s="173">
        <f>L24*测算模型!$F$41/12+M24*(12-测算模型!$F$41)/12</f>
        <v>1809.1389089465997</v>
      </c>
      <c r="N63" s="173">
        <f>M24*测算模型!$F$41/12+N24*(12-测算模型!$F$41)/12</f>
        <v>1795.0951358801997</v>
      </c>
      <c r="O63" s="173">
        <f>N24*测算模型!$F$41/12+O24*(12-测算模型!$F$41)/12</f>
        <v>1781.0513628137999</v>
      </c>
      <c r="P63" s="173">
        <f>O24*测算模型!$F$41/12+P24*(12-测算模型!$F$41)/12</f>
        <v>1767.0075897474001</v>
      </c>
      <c r="Q63" s="173">
        <f>P24*测算模型!$F$41/12+Q24*(12-测算模型!$F$41)/12</f>
        <v>1752.9638166809998</v>
      </c>
      <c r="R63" s="173">
        <f>Q24*测算模型!$F$41/12+R24*(12-测算模型!$F$41)/12</f>
        <v>1738.9200436145995</v>
      </c>
      <c r="S63" s="173">
        <f>R24*测算模型!$F$41/12+S24*(12-测算模型!$F$41)/12</f>
        <v>1724.8762705481997</v>
      </c>
      <c r="T63" s="173">
        <f>S24*测算模型!$F$41/12+T24*(12-测算模型!$F$41)/12</f>
        <v>1710.8324974817997</v>
      </c>
      <c r="U63" s="173">
        <f>T24*测算模型!$F$41/12+U24*(12-测算模型!$F$41)/12</f>
        <v>1696.7887244153999</v>
      </c>
      <c r="V63" s="173">
        <f>U24*测算模型!$F$41/12+V24</f>
        <v>2102.5534533695995</v>
      </c>
    </row>
    <row r="64" spans="1:22" x14ac:dyDescent="0.15">
      <c r="A64" s="165" t="s">
        <v>258</v>
      </c>
      <c r="B64" s="173"/>
      <c r="C64" s="173">
        <f>C25*(12-测算模型!$F$42)/12</f>
        <v>0</v>
      </c>
      <c r="D64" s="173">
        <f>C25*测算模型!$F$42/12+D25*(12-测算模型!$F$42)/12</f>
        <v>0</v>
      </c>
      <c r="E64" s="173">
        <f>D25*测算模型!$F$42/12+E25*(12-测算模型!$F$42)/12</f>
        <v>0</v>
      </c>
      <c r="F64" s="173">
        <f>E25*测算模型!$F$42/12+F25*(12-测算模型!$F$42)/12</f>
        <v>0</v>
      </c>
      <c r="G64" s="173">
        <f>F25*测算模型!$F$42/12+G25*(12-测算模型!$F$42)/12</f>
        <v>0</v>
      </c>
      <c r="H64" s="173">
        <f>G25*测算模型!$F$42/12+H25*(12-测算模型!$F$42)/12</f>
        <v>0</v>
      </c>
      <c r="I64" s="173">
        <f>H25*测算模型!$F$42/12+I25*(12-测算模型!$F$42)/12</f>
        <v>0</v>
      </c>
      <c r="J64" s="173">
        <f>I25*测算模型!$F$42/12+J25*(12-测算模型!$F$42)/12</f>
        <v>0</v>
      </c>
      <c r="K64" s="173">
        <f>J25*测算模型!$F$42/12+K25*(12-测算模型!$F$42)/12</f>
        <v>0</v>
      </c>
      <c r="L64" s="173">
        <f>K25*测算模型!$F$42/12+L25*(12-测算模型!$F$42)/12</f>
        <v>0</v>
      </c>
      <c r="M64" s="173">
        <f>L25*测算模型!$F$42/12+M25*(12-测算模型!$F$42)/12</f>
        <v>0</v>
      </c>
      <c r="N64" s="173">
        <f>M25*测算模型!$F$42/12+N25*(12-测算模型!$F$42)/12</f>
        <v>0</v>
      </c>
      <c r="O64" s="173">
        <f>N25*测算模型!$F$42/12+O25*(12-测算模型!$F$42)/12</f>
        <v>0</v>
      </c>
      <c r="P64" s="173">
        <f>O25*测算模型!$F$42/12+P25*(12-测算模型!$F$42)/12</f>
        <v>0</v>
      </c>
      <c r="Q64" s="173">
        <f>P25*测算模型!$F$42/12+Q25*(12-测算模型!$F$42)/12</f>
        <v>0</v>
      </c>
      <c r="R64" s="173">
        <f>Q25*测算模型!$F$42/12+R25*(12-测算模型!$F$42)/12</f>
        <v>0</v>
      </c>
      <c r="S64" s="173">
        <f>R25*测算模型!$F$42/12+S25*(12-测算模型!$F$42)/12</f>
        <v>0</v>
      </c>
      <c r="T64" s="173">
        <f>S25*测算模型!$F$42/12+T25*(12-测算模型!$F$42)/12</f>
        <v>0</v>
      </c>
      <c r="U64" s="173">
        <f>T25*测算模型!$F$42/12+U25*(12-测算模型!$F$42)/12</f>
        <v>0</v>
      </c>
      <c r="V64" s="173">
        <f>U25*测算模型!$F$42/12+V25*(12-测算模型!$F$42)/12</f>
        <v>0</v>
      </c>
    </row>
    <row r="65" spans="1:42" x14ac:dyDescent="0.15">
      <c r="A65" s="165" t="s">
        <v>259</v>
      </c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>
        <f>(测算模型!$I$16-测算模型!$I$20-测算模型!$I$21-测算模型!$F$35)/10000*测算模型!$F$18</f>
        <v>2200.0933333333337</v>
      </c>
    </row>
    <row r="66" spans="1:42" x14ac:dyDescent="0.15">
      <c r="A66" s="176" t="s">
        <v>266</v>
      </c>
      <c r="B66" s="174">
        <f>SUM(B67:B72)</f>
        <v>4928.3999999999996</v>
      </c>
      <c r="C66" s="174">
        <f t="shared" ref="C66:V66" si="20">SUM(C67:C72)</f>
        <v>1461.5630400000005</v>
      </c>
      <c r="D66" s="174">
        <f t="shared" si="20"/>
        <v>2358.0977181100411</v>
      </c>
      <c r="E66" s="174">
        <f t="shared" si="20"/>
        <v>2432.3527163211156</v>
      </c>
      <c r="F66" s="174">
        <f t="shared" si="20"/>
        <v>2444.3640505861317</v>
      </c>
      <c r="G66" s="174">
        <f t="shared" si="20"/>
        <v>2476.557952857605</v>
      </c>
      <c r="H66" s="174">
        <f t="shared" si="20"/>
        <v>3073.0019751916971</v>
      </c>
      <c r="I66" s="174">
        <f t="shared" si="20"/>
        <v>3085.3716749391019</v>
      </c>
      <c r="J66" s="174">
        <f t="shared" si="20"/>
        <v>3098.7827062891806</v>
      </c>
      <c r="K66" s="174">
        <f t="shared" si="20"/>
        <v>3113.2853058887813</v>
      </c>
      <c r="L66" s="174">
        <f t="shared" si="20"/>
        <v>3128.9322414062226</v>
      </c>
      <c r="M66" s="174">
        <f t="shared" si="20"/>
        <v>3154.0330977321009</v>
      </c>
      <c r="N66" s="174">
        <f t="shared" si="20"/>
        <v>3173.4619497653439</v>
      </c>
      <c r="O66" s="174">
        <f t="shared" si="20"/>
        <v>3194.2099729597594</v>
      </c>
      <c r="P66" s="174">
        <f t="shared" si="20"/>
        <v>3216.3414412106749</v>
      </c>
      <c r="Q66" s="174">
        <f t="shared" si="20"/>
        <v>3239.9238878934643</v>
      </c>
      <c r="R66" s="174">
        <f t="shared" si="20"/>
        <v>3272.6512754030418</v>
      </c>
      <c r="S66" s="174">
        <f t="shared" si="20"/>
        <v>1349.7044555370885</v>
      </c>
      <c r="T66" s="174">
        <f t="shared" si="20"/>
        <v>1351.808726858816</v>
      </c>
      <c r="U66" s="174">
        <f t="shared" si="20"/>
        <v>1354.2541988871578</v>
      </c>
      <c r="V66" s="174">
        <f t="shared" si="20"/>
        <v>1357.0511076433108</v>
      </c>
      <c r="Z66" s="7">
        <v>15</v>
      </c>
      <c r="AB66" s="8">
        <v>25</v>
      </c>
      <c r="AD66" s="8">
        <v>35</v>
      </c>
      <c r="AF66" s="8">
        <v>45</v>
      </c>
      <c r="AH66" s="8">
        <v>55</v>
      </c>
      <c r="AJ66" s="8">
        <v>65</v>
      </c>
      <c r="AL66" s="8">
        <v>75</v>
      </c>
      <c r="AN66" s="8">
        <v>85</v>
      </c>
      <c r="AP66" s="8">
        <v>95</v>
      </c>
    </row>
    <row r="67" spans="1:42" x14ac:dyDescent="0.15">
      <c r="A67" s="179" t="s">
        <v>267</v>
      </c>
      <c r="B67" s="174">
        <f>测算模型!$I$16/10000*测算模型!$F$36</f>
        <v>4928.3999999999996</v>
      </c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Z67" s="7">
        <v>16</v>
      </c>
      <c r="AB67" s="8">
        <v>26</v>
      </c>
      <c r="AD67" s="8">
        <v>36</v>
      </c>
      <c r="AF67" s="8">
        <v>46</v>
      </c>
      <c r="AH67" s="8">
        <v>56</v>
      </c>
      <c r="AJ67" s="8">
        <v>66</v>
      </c>
      <c r="AL67" s="8">
        <v>76</v>
      </c>
      <c r="AN67" s="8">
        <v>86</v>
      </c>
      <c r="AP67" s="8">
        <v>96</v>
      </c>
    </row>
    <row r="68" spans="1:42" x14ac:dyDescent="0.15">
      <c r="A68" s="179" t="s">
        <v>268</v>
      </c>
      <c r="B68" s="174"/>
      <c r="C68" s="173">
        <f>IF(测算模型!$F$27="等额本息",C7,C13)</f>
        <v>0</v>
      </c>
      <c r="D68" s="173">
        <f>IF(测算模型!$F$27="等额本息",D7,D13)</f>
        <v>887.08467811004084</v>
      </c>
      <c r="E68" s="173">
        <f>IF(测算模型!$F$27="等额本息",E7,E13)</f>
        <v>934.89854226017212</v>
      </c>
      <c r="F68" s="173">
        <f>IF(测算模型!$F$27="等额本息",F7,F13)</f>
        <v>985.28957368799547</v>
      </c>
      <c r="G68" s="173">
        <f>IF(测算模型!$F$27="等额本息",G7,G13)</f>
        <v>1038.3966817097785</v>
      </c>
      <c r="H68" s="173">
        <f>IF(测算模型!$F$27="等额本息",H7,H13)</f>
        <v>1094.3662628539355</v>
      </c>
      <c r="I68" s="173">
        <f>IF(测算模型!$F$27="等额本息",I7,I13)</f>
        <v>1153.3526044217624</v>
      </c>
      <c r="J68" s="173">
        <f>IF(测算模型!$F$27="等额本息",J7,J13)</f>
        <v>1215.5183098000955</v>
      </c>
      <c r="K68" s="173">
        <f>IF(测算模型!$F$27="等额本息",K7,K13)</f>
        <v>1281.0347466983208</v>
      </c>
      <c r="L68" s="173">
        <f>IF(测算模型!$F$27="等额本息",L7,L13)</f>
        <v>1350.0825195453601</v>
      </c>
      <c r="M68" s="173">
        <f>IF(测算模型!$F$27="等额本息",M7,M13)</f>
        <v>1422.8519673488549</v>
      </c>
      <c r="N68" s="173">
        <f>IF(测算模型!$F$27="等额本息",N7,N13)</f>
        <v>1499.5436883889583</v>
      </c>
      <c r="O68" s="173">
        <f>IF(测算模型!$F$27="等额本息",O7,O13)</f>
        <v>1580.3690931931233</v>
      </c>
      <c r="P68" s="173">
        <f>IF(测算模型!$F$27="等额本息",P7,P13)</f>
        <v>1665.5509873162325</v>
      </c>
      <c r="Q68" s="173">
        <f>IF(测算模型!$F$27="等额本息",Q7,Q13)</f>
        <v>1755.3241855325775</v>
      </c>
      <c r="R68" s="173">
        <f>IF(测算模型!$F$27="等额本息",R7,R13)</f>
        <v>1849.9361591327834</v>
      </c>
      <c r="S68" s="173"/>
      <c r="T68" s="173"/>
      <c r="U68" s="173"/>
      <c r="V68" s="173"/>
      <c r="Z68" s="7">
        <v>17</v>
      </c>
      <c r="AB68" s="8">
        <v>27</v>
      </c>
      <c r="AD68" s="8">
        <v>37</v>
      </c>
      <c r="AF68" s="8">
        <v>47</v>
      </c>
      <c r="AH68" s="8">
        <v>57</v>
      </c>
      <c r="AJ68" s="8">
        <v>67</v>
      </c>
      <c r="AL68" s="8">
        <v>77</v>
      </c>
      <c r="AN68" s="8">
        <v>87</v>
      </c>
      <c r="AP68" s="8">
        <v>97</v>
      </c>
    </row>
    <row r="69" spans="1:42" x14ac:dyDescent="0.15">
      <c r="A69" s="179" t="s">
        <v>269</v>
      </c>
      <c r="B69" s="175"/>
      <c r="C69" s="173">
        <f>IF(测算模型!$F$27="等额本息",C8,C14)</f>
        <v>1062.5630400000005</v>
      </c>
      <c r="D69" s="173">
        <f>IF(测算模型!$F$27="等额本息",D8,D14)</f>
        <v>1062.5630400000005</v>
      </c>
      <c r="E69" s="173">
        <f>IF(测算模型!$F$27="等额本息",E8,E14)</f>
        <v>1014.7491758498692</v>
      </c>
      <c r="F69" s="173">
        <f>IF(测算模型!$F$27="等额本息",F8,F14)</f>
        <v>964.35814442204583</v>
      </c>
      <c r="G69" s="173">
        <f>IF(测算模型!$F$27="等额本息",G8,G14)</f>
        <v>911.25103640026293</v>
      </c>
      <c r="H69" s="173">
        <f>IF(测算模型!$F$27="等额本息",H8,H14)</f>
        <v>855.28145525610591</v>
      </c>
      <c r="I69" s="173">
        <f>IF(测算模型!$F$27="等额本息",I8,I14)</f>
        <v>796.29511368827878</v>
      </c>
      <c r="J69" s="173">
        <f>IF(测算模型!$F$27="等额本息",J8,J14)</f>
        <v>734.1294083099458</v>
      </c>
      <c r="K69" s="173">
        <f>IF(测算模型!$F$27="等额本息",K8,K14)</f>
        <v>668.61297141172065</v>
      </c>
      <c r="L69" s="173">
        <f>IF(测算模型!$F$27="等额本息",L8,L14)</f>
        <v>599.56519856468117</v>
      </c>
      <c r="M69" s="173">
        <f>IF(测算模型!$F$27="等额本息",M8,M14)</f>
        <v>526.79575076118624</v>
      </c>
      <c r="N69" s="173">
        <f>IF(测算模型!$F$27="等额本息",N8,N14)</f>
        <v>450.10402972108295</v>
      </c>
      <c r="O69" s="173">
        <f>IF(测算模型!$F$27="等额本息",O8,O14)</f>
        <v>369.27862491691809</v>
      </c>
      <c r="P69" s="173">
        <f>IF(测算模型!$F$27="等额本息",P8,P14)</f>
        <v>284.09673079380877</v>
      </c>
      <c r="Q69" s="173">
        <f>IF(测算模型!$F$27="等额本息",Q8,Q14)</f>
        <v>194.32353257746382</v>
      </c>
      <c r="R69" s="173">
        <f>IF(测算模型!$F$27="等额本息",R8,R14)</f>
        <v>99.71155897725788</v>
      </c>
      <c r="S69" s="173"/>
      <c r="T69" s="173"/>
      <c r="U69" s="173"/>
      <c r="V69" s="173"/>
      <c r="Z69" s="7">
        <v>18</v>
      </c>
      <c r="AB69" s="8">
        <v>28</v>
      </c>
      <c r="AD69" s="8">
        <v>38</v>
      </c>
      <c r="AF69" s="8">
        <v>48</v>
      </c>
      <c r="AH69" s="8">
        <v>58</v>
      </c>
      <c r="AJ69" s="8">
        <v>68</v>
      </c>
      <c r="AL69" s="8">
        <v>78</v>
      </c>
      <c r="AN69" s="8">
        <v>88</v>
      </c>
      <c r="AP69" s="8">
        <v>98</v>
      </c>
    </row>
    <row r="70" spans="1:42" x14ac:dyDescent="0.15">
      <c r="A70" s="179" t="s">
        <v>270</v>
      </c>
      <c r="B70" s="175"/>
      <c r="C70" s="173">
        <f>C31+C53</f>
        <v>399</v>
      </c>
      <c r="D70" s="173">
        <f t="shared" ref="D70:V70" si="21">D31+D53</f>
        <v>408.45</v>
      </c>
      <c r="E70" s="173">
        <f t="shared" si="21"/>
        <v>418.18349999999998</v>
      </c>
      <c r="F70" s="173">
        <f t="shared" si="21"/>
        <v>428.20900499999999</v>
      </c>
      <c r="G70" s="173">
        <f t="shared" si="21"/>
        <v>438.53527514999996</v>
      </c>
      <c r="H70" s="173">
        <f t="shared" si="21"/>
        <v>457.57133340449991</v>
      </c>
      <c r="I70" s="173">
        <f t="shared" si="21"/>
        <v>468.52647340663498</v>
      </c>
      <c r="J70" s="173">
        <f t="shared" si="21"/>
        <v>479.81026760883401</v>
      </c>
      <c r="K70" s="173">
        <f t="shared" si="21"/>
        <v>491.43257563709903</v>
      </c>
      <c r="L70" s="173">
        <f t="shared" si="21"/>
        <v>503.40355290621198</v>
      </c>
      <c r="M70" s="173">
        <f t="shared" si="21"/>
        <v>524.97365949339837</v>
      </c>
      <c r="N70" s="173">
        <f t="shared" si="21"/>
        <v>537.67366927820035</v>
      </c>
      <c r="O70" s="173">
        <f t="shared" si="21"/>
        <v>550.75467935654626</v>
      </c>
      <c r="P70" s="173">
        <f t="shared" si="21"/>
        <v>564.22811973724265</v>
      </c>
      <c r="Q70" s="173">
        <f t="shared" si="21"/>
        <v>578.10576332936</v>
      </c>
      <c r="R70" s="173">
        <f t="shared" si="21"/>
        <v>602.56373622924082</v>
      </c>
      <c r="S70" s="173">
        <f t="shared" si="21"/>
        <v>617.28652831611794</v>
      </c>
      <c r="T70" s="173">
        <f t="shared" si="21"/>
        <v>632.45100416560149</v>
      </c>
      <c r="U70" s="173">
        <f t="shared" si="21"/>
        <v>648.07041429056949</v>
      </c>
      <c r="V70" s="173">
        <f t="shared" si="21"/>
        <v>664.15840671928652</v>
      </c>
      <c r="Z70" s="7">
        <v>19</v>
      </c>
      <c r="AB70" s="8">
        <v>29</v>
      </c>
      <c r="AD70" s="8">
        <v>39</v>
      </c>
      <c r="AF70" s="8">
        <v>49</v>
      </c>
      <c r="AH70" s="8">
        <v>59</v>
      </c>
      <c r="AJ70" s="8">
        <v>69</v>
      </c>
      <c r="AL70" s="8">
        <v>79</v>
      </c>
      <c r="AN70" s="8">
        <v>89</v>
      </c>
      <c r="AP70" s="8">
        <v>99</v>
      </c>
    </row>
    <row r="71" spans="1:42" x14ac:dyDescent="0.15">
      <c r="A71" s="179" t="s">
        <v>271</v>
      </c>
      <c r="B71" s="175"/>
      <c r="C71" s="173">
        <f>C26+C29</f>
        <v>0</v>
      </c>
      <c r="D71" s="173">
        <f t="shared" ref="D71:V71" si="22">D26+D29</f>
        <v>0</v>
      </c>
      <c r="E71" s="173">
        <f t="shared" si="22"/>
        <v>0</v>
      </c>
      <c r="F71" s="173">
        <f t="shared" si="22"/>
        <v>0</v>
      </c>
      <c r="G71" s="173">
        <f t="shared" si="22"/>
        <v>19.804945120513139</v>
      </c>
      <c r="H71" s="173">
        <f t="shared" si="22"/>
        <v>537.290267123077</v>
      </c>
      <c r="I71" s="173">
        <f t="shared" si="22"/>
        <v>532.71271426153839</v>
      </c>
      <c r="J71" s="173">
        <f t="shared" si="22"/>
        <v>528.13516140000002</v>
      </c>
      <c r="K71" s="173">
        <f t="shared" si="22"/>
        <v>523.55760853846152</v>
      </c>
      <c r="L71" s="173">
        <f t="shared" si="22"/>
        <v>518.98005567692314</v>
      </c>
      <c r="M71" s="173">
        <f t="shared" si="22"/>
        <v>514.97469692307698</v>
      </c>
      <c r="N71" s="173">
        <f t="shared" si="22"/>
        <v>510.96933816923081</v>
      </c>
      <c r="O71" s="173">
        <f t="shared" si="22"/>
        <v>506.96397941538459</v>
      </c>
      <c r="P71" s="173">
        <f t="shared" si="22"/>
        <v>502.95862066153848</v>
      </c>
      <c r="Q71" s="173">
        <f t="shared" si="22"/>
        <v>498.95326190769237</v>
      </c>
      <c r="R71" s="173">
        <f t="shared" si="22"/>
        <v>494.94790315384614</v>
      </c>
      <c r="S71" s="173">
        <f t="shared" si="22"/>
        <v>490.94254439999997</v>
      </c>
      <c r="T71" s="173">
        <f t="shared" si="22"/>
        <v>486.93718564615381</v>
      </c>
      <c r="U71" s="173">
        <f t="shared" si="22"/>
        <v>482.93182689230764</v>
      </c>
      <c r="V71" s="173">
        <f t="shared" si="22"/>
        <v>478.92646813846153</v>
      </c>
    </row>
    <row r="72" spans="1:42" x14ac:dyDescent="0.15">
      <c r="A72" s="252" t="s">
        <v>272</v>
      </c>
      <c r="B72" s="175"/>
      <c r="C72" s="173">
        <f>C37</f>
        <v>0</v>
      </c>
      <c r="D72" s="173">
        <f t="shared" ref="D72:V72" si="23">D37</f>
        <v>0</v>
      </c>
      <c r="E72" s="173">
        <f t="shared" si="23"/>
        <v>64.521498211074004</v>
      </c>
      <c r="F72" s="173">
        <f t="shared" si="23"/>
        <v>66.507327476090381</v>
      </c>
      <c r="G72" s="173">
        <f t="shared" si="23"/>
        <v>68.570014477050421</v>
      </c>
      <c r="H72" s="173">
        <f t="shared" si="23"/>
        <v>128.49265655407919</v>
      </c>
      <c r="I72" s="173">
        <f t="shared" si="23"/>
        <v>134.48476916088691</v>
      </c>
      <c r="J72" s="173">
        <f t="shared" si="23"/>
        <v>141.18955917030496</v>
      </c>
      <c r="K72" s="173">
        <f t="shared" si="23"/>
        <v>148.64740360317955</v>
      </c>
      <c r="L72" s="173">
        <f t="shared" si="23"/>
        <v>156.90091471304572</v>
      </c>
      <c r="M72" s="173">
        <f t="shared" si="23"/>
        <v>164.43702320558452</v>
      </c>
      <c r="N72" s="173">
        <f t="shared" si="23"/>
        <v>175.17122420787132</v>
      </c>
      <c r="O72" s="173">
        <f t="shared" si="23"/>
        <v>186.84359607778765</v>
      </c>
      <c r="P72" s="173">
        <f t="shared" si="23"/>
        <v>199.50698270185251</v>
      </c>
      <c r="Q72" s="173">
        <f t="shared" si="23"/>
        <v>213.21714454637078</v>
      </c>
      <c r="R72" s="173">
        <f t="shared" si="23"/>
        <v>225.49191790991358</v>
      </c>
      <c r="S72" s="173">
        <f t="shared" si="23"/>
        <v>241.47538282097037</v>
      </c>
      <c r="T72" s="173">
        <f t="shared" si="23"/>
        <v>232.42053704706098</v>
      </c>
      <c r="U72" s="173">
        <f t="shared" si="23"/>
        <v>223.25195770428058</v>
      </c>
      <c r="V72" s="173">
        <f t="shared" si="23"/>
        <v>213.96623278556297</v>
      </c>
    </row>
    <row r="73" spans="1:42" x14ac:dyDescent="0.15">
      <c r="A73" s="176" t="s">
        <v>273</v>
      </c>
      <c r="B73" s="184">
        <f>B61-B66</f>
        <v>-4928.3999999999996</v>
      </c>
      <c r="C73" s="184">
        <f t="shared" ref="C73:V73" si="24">C61-C66</f>
        <v>-36.960010342500482</v>
      </c>
      <c r="D73" s="184">
        <f t="shared" si="24"/>
        <v>2614.4402754592588</v>
      </c>
      <c r="E73" s="184">
        <f t="shared" si="24"/>
        <v>1020.2855740724845</v>
      </c>
      <c r="F73" s="184">
        <f t="shared" si="24"/>
        <v>979.63393580746788</v>
      </c>
      <c r="G73" s="184">
        <f t="shared" si="24"/>
        <v>918.79972953599463</v>
      </c>
      <c r="H73" s="184">
        <f t="shared" si="24"/>
        <v>293.71540320190252</v>
      </c>
      <c r="I73" s="184">
        <f t="shared" si="24"/>
        <v>252.70539945449809</v>
      </c>
      <c r="J73" s="184">
        <f t="shared" si="24"/>
        <v>210.65406410441892</v>
      </c>
      <c r="K73" s="184">
        <f t="shared" si="24"/>
        <v>167.51116050481869</v>
      </c>
      <c r="L73" s="184">
        <f t="shared" si="24"/>
        <v>123.22392098737691</v>
      </c>
      <c r="M73" s="184">
        <f t="shared" si="24"/>
        <v>72.43008661229851</v>
      </c>
      <c r="N73" s="184">
        <f t="shared" si="24"/>
        <v>27.940968579055607</v>
      </c>
      <c r="O73" s="184">
        <f t="shared" si="24"/>
        <v>-17.867320615359858</v>
      </c>
      <c r="P73" s="184">
        <f t="shared" si="24"/>
        <v>-65.059054866274892</v>
      </c>
      <c r="Q73" s="184">
        <f t="shared" si="24"/>
        <v>-113.7017675490647</v>
      </c>
      <c r="R73" s="184">
        <f t="shared" si="24"/>
        <v>-171.48942105864262</v>
      </c>
      <c r="S73" s="184">
        <f t="shared" si="24"/>
        <v>1726.3971328073112</v>
      </c>
      <c r="T73" s="184">
        <f t="shared" si="24"/>
        <v>1699.2325954855833</v>
      </c>
      <c r="U73" s="184">
        <f t="shared" si="24"/>
        <v>1671.726857457242</v>
      </c>
      <c r="V73" s="184">
        <f t="shared" si="24"/>
        <v>4373.5430012148227</v>
      </c>
    </row>
    <row r="74" spans="1:42" x14ac:dyDescent="0.15">
      <c r="A74" s="180" t="s">
        <v>277</v>
      </c>
      <c r="B74" s="182">
        <f>B73</f>
        <v>-4928.3999999999996</v>
      </c>
      <c r="C74" s="183">
        <f>C73+B74</f>
        <v>-4965.3600103424997</v>
      </c>
      <c r="D74" s="183">
        <f>D73+C74</f>
        <v>-2350.9197348832408</v>
      </c>
      <c r="E74" s="183">
        <f t="shared" ref="E74:V74" si="25">E73+D74</f>
        <v>-1330.6341608107564</v>
      </c>
      <c r="F74" s="183">
        <f>F73+E74</f>
        <v>-351.00022500328851</v>
      </c>
      <c r="G74" s="183">
        <f>G73+F74</f>
        <v>567.79950453270612</v>
      </c>
      <c r="H74" s="183">
        <f t="shared" si="25"/>
        <v>861.51490773460864</v>
      </c>
      <c r="I74" s="183">
        <f t="shared" si="25"/>
        <v>1114.2203071891067</v>
      </c>
      <c r="J74" s="183">
        <f t="shared" si="25"/>
        <v>1324.8743712935257</v>
      </c>
      <c r="K74" s="183">
        <f t="shared" si="25"/>
        <v>1492.3855317983443</v>
      </c>
      <c r="L74" s="183">
        <f t="shared" si="25"/>
        <v>1615.6094527857213</v>
      </c>
      <c r="M74" s="183">
        <f t="shared" si="25"/>
        <v>1688.0395393980198</v>
      </c>
      <c r="N74" s="183">
        <f t="shared" si="25"/>
        <v>1715.9805079770754</v>
      </c>
      <c r="O74" s="183">
        <f t="shared" si="25"/>
        <v>1698.1131873617155</v>
      </c>
      <c r="P74" s="183">
        <f t="shared" si="25"/>
        <v>1633.0541324954406</v>
      </c>
      <c r="Q74" s="183">
        <f t="shared" si="25"/>
        <v>1519.3523649463759</v>
      </c>
      <c r="R74" s="183">
        <f t="shared" si="25"/>
        <v>1347.8629438877333</v>
      </c>
      <c r="S74" s="183">
        <f t="shared" si="25"/>
        <v>3074.2600766950445</v>
      </c>
      <c r="T74" s="183">
        <f t="shared" si="25"/>
        <v>4773.4926721806278</v>
      </c>
      <c r="U74" s="183">
        <f t="shared" si="25"/>
        <v>6445.2195296378695</v>
      </c>
      <c r="V74" s="183">
        <f t="shared" si="25"/>
        <v>10818.762530852691</v>
      </c>
    </row>
    <row r="76" spans="1:42" x14ac:dyDescent="0.15">
      <c r="A76" s="189" t="s">
        <v>279</v>
      </c>
    </row>
    <row r="77" spans="1:42" ht="15" x14ac:dyDescent="0.15">
      <c r="A77" s="242" t="s">
        <v>274</v>
      </c>
      <c r="B77" s="169">
        <v>0</v>
      </c>
      <c r="C77" s="169">
        <v>1</v>
      </c>
      <c r="D77" s="169">
        <v>2</v>
      </c>
      <c r="E77" s="169">
        <v>3</v>
      </c>
      <c r="F77" s="169">
        <v>4</v>
      </c>
      <c r="G77" s="169">
        <v>5</v>
      </c>
      <c r="H77" s="169">
        <v>6</v>
      </c>
      <c r="I77" s="169">
        <v>7</v>
      </c>
      <c r="J77" s="169">
        <v>8</v>
      </c>
      <c r="K77" s="169">
        <v>9</v>
      </c>
      <c r="L77" s="169">
        <v>10</v>
      </c>
      <c r="M77" s="169">
        <v>11</v>
      </c>
      <c r="N77" s="169">
        <v>12</v>
      </c>
      <c r="O77" s="169">
        <v>13</v>
      </c>
      <c r="P77" s="169">
        <v>14</v>
      </c>
      <c r="Q77" s="169">
        <v>15</v>
      </c>
      <c r="R77" s="169">
        <v>16</v>
      </c>
      <c r="S77" s="169">
        <v>17</v>
      </c>
      <c r="T77" s="169">
        <v>18</v>
      </c>
      <c r="U77" s="169">
        <v>19</v>
      </c>
      <c r="V77" s="169">
        <v>20</v>
      </c>
    </row>
    <row r="78" spans="1:42" x14ac:dyDescent="0.15">
      <c r="A78" s="177" t="s">
        <v>280</v>
      </c>
      <c r="B78" s="203">
        <f>B79-B83</f>
        <v>0</v>
      </c>
      <c r="C78" s="203">
        <f t="shared" ref="C78:V78" si="26">C79-C83</f>
        <v>1025.6030296575</v>
      </c>
      <c r="D78" s="203">
        <f t="shared" si="26"/>
        <v>4564.0879935693001</v>
      </c>
      <c r="E78" s="203">
        <f t="shared" si="26"/>
        <v>2969.9332921825262</v>
      </c>
      <c r="F78" s="203">
        <f t="shared" si="26"/>
        <v>2929.2816539175092</v>
      </c>
      <c r="G78" s="203">
        <f t="shared" si="26"/>
        <v>2868.4474476460359</v>
      </c>
      <c r="H78" s="203">
        <f t="shared" si="26"/>
        <v>2243.3631213119434</v>
      </c>
      <c r="I78" s="203">
        <f t="shared" si="26"/>
        <v>2202.3531175645398</v>
      </c>
      <c r="J78" s="203">
        <f t="shared" si="26"/>
        <v>2160.3017822144607</v>
      </c>
      <c r="K78" s="203">
        <f t="shared" si="26"/>
        <v>2117.15887861486</v>
      </c>
      <c r="L78" s="203">
        <f t="shared" si="26"/>
        <v>2072.8716390974187</v>
      </c>
      <c r="M78" s="203">
        <f t="shared" si="26"/>
        <v>2022.0778047223398</v>
      </c>
      <c r="N78" s="203">
        <f t="shared" si="26"/>
        <v>1977.5886866890971</v>
      </c>
      <c r="O78" s="203">
        <f t="shared" si="26"/>
        <v>1931.780397494681</v>
      </c>
      <c r="P78" s="203">
        <f t="shared" si="26"/>
        <v>1884.5886632437664</v>
      </c>
      <c r="Q78" s="203">
        <f t="shared" si="26"/>
        <v>1835.9459505609766</v>
      </c>
      <c r="R78" s="203">
        <f t="shared" si="26"/>
        <v>1778.1582970513987</v>
      </c>
      <c r="S78" s="203">
        <f t="shared" si="26"/>
        <v>1726.3971328073112</v>
      </c>
      <c r="T78" s="203">
        <f t="shared" si="26"/>
        <v>1699.2325954855833</v>
      </c>
      <c r="U78" s="203">
        <f t="shared" si="26"/>
        <v>1671.726857457242</v>
      </c>
      <c r="V78" s="203">
        <f t="shared" si="26"/>
        <v>2173.4496678814885</v>
      </c>
    </row>
    <row r="79" spans="1:42" x14ac:dyDescent="0.15">
      <c r="A79" s="195" t="s">
        <v>281</v>
      </c>
      <c r="B79" s="173">
        <f>SUM(B80:B82)</f>
        <v>0</v>
      </c>
      <c r="C79" s="173">
        <f>SUM(C80:C82)</f>
        <v>1424.6030296575</v>
      </c>
      <c r="D79" s="173">
        <f t="shared" ref="D79:V79" si="27">SUM(D80:D82)</f>
        <v>4972.5379935692999</v>
      </c>
      <c r="E79" s="173">
        <f t="shared" si="27"/>
        <v>3452.6382903936001</v>
      </c>
      <c r="F79" s="173">
        <f t="shared" si="27"/>
        <v>3423.9979863935996</v>
      </c>
      <c r="G79" s="173">
        <f t="shared" si="27"/>
        <v>3395.3576823935996</v>
      </c>
      <c r="H79" s="173">
        <f t="shared" si="27"/>
        <v>3366.7173783935996</v>
      </c>
      <c r="I79" s="173">
        <f t="shared" si="27"/>
        <v>3338.0770743936</v>
      </c>
      <c r="J79" s="173">
        <f t="shared" si="27"/>
        <v>3309.4367703935995</v>
      </c>
      <c r="K79" s="173">
        <f t="shared" si="27"/>
        <v>3280.7964663936</v>
      </c>
      <c r="L79" s="173">
        <f t="shared" si="27"/>
        <v>3252.1561623935995</v>
      </c>
      <c r="M79" s="173">
        <f t="shared" si="27"/>
        <v>3226.4631843443995</v>
      </c>
      <c r="N79" s="173">
        <f t="shared" si="27"/>
        <v>3201.4029183443995</v>
      </c>
      <c r="O79" s="173">
        <f t="shared" si="27"/>
        <v>3176.3426523443995</v>
      </c>
      <c r="P79" s="173">
        <f t="shared" si="27"/>
        <v>3151.2823863444</v>
      </c>
      <c r="Q79" s="173">
        <f t="shared" si="27"/>
        <v>3126.2221203443996</v>
      </c>
      <c r="R79" s="173">
        <f t="shared" si="27"/>
        <v>3101.1618543443992</v>
      </c>
      <c r="S79" s="173">
        <f t="shared" si="27"/>
        <v>3076.1015883443997</v>
      </c>
      <c r="T79" s="173">
        <f t="shared" si="27"/>
        <v>3051.0413223443993</v>
      </c>
      <c r="U79" s="173">
        <f t="shared" si="27"/>
        <v>3025.9810563443998</v>
      </c>
      <c r="V79" s="173">
        <f t="shared" si="27"/>
        <v>3530.5007755247993</v>
      </c>
    </row>
    <row r="80" spans="1:42" x14ac:dyDescent="0.15">
      <c r="A80" s="194" t="s">
        <v>282</v>
      </c>
      <c r="B80" s="172"/>
      <c r="C80" s="173">
        <f>C62</f>
        <v>1424.6030296575</v>
      </c>
      <c r="D80" s="173">
        <f t="shared" ref="D80:V80" si="28">D62</f>
        <v>1530.3089023298999</v>
      </c>
      <c r="E80" s="173">
        <f t="shared" si="28"/>
        <v>1516.6038605255999</v>
      </c>
      <c r="F80" s="173">
        <f t="shared" si="28"/>
        <v>1504.0135828871996</v>
      </c>
      <c r="G80" s="173">
        <f t="shared" si="28"/>
        <v>1491.4233052487998</v>
      </c>
      <c r="H80" s="173">
        <f t="shared" si="28"/>
        <v>1478.8330276103998</v>
      </c>
      <c r="I80" s="173">
        <f t="shared" si="28"/>
        <v>1466.242749972</v>
      </c>
      <c r="J80" s="173">
        <f t="shared" si="28"/>
        <v>1453.6524723335997</v>
      </c>
      <c r="K80" s="173">
        <f t="shared" si="28"/>
        <v>1441.0621946951999</v>
      </c>
      <c r="L80" s="173">
        <f t="shared" si="28"/>
        <v>1428.4719170567998</v>
      </c>
      <c r="M80" s="173">
        <f t="shared" si="28"/>
        <v>1417.3242753977997</v>
      </c>
      <c r="N80" s="173">
        <f t="shared" si="28"/>
        <v>1406.3077824641998</v>
      </c>
      <c r="O80" s="173">
        <f t="shared" si="28"/>
        <v>1395.2912895305997</v>
      </c>
      <c r="P80" s="173">
        <f t="shared" si="28"/>
        <v>1384.2747965969997</v>
      </c>
      <c r="Q80" s="173">
        <f t="shared" si="28"/>
        <v>1373.2583036634001</v>
      </c>
      <c r="R80" s="173">
        <f t="shared" si="28"/>
        <v>1362.2418107297997</v>
      </c>
      <c r="S80" s="173">
        <f t="shared" si="28"/>
        <v>1351.2253177961998</v>
      </c>
      <c r="T80" s="173">
        <f t="shared" si="28"/>
        <v>1340.2088248625996</v>
      </c>
      <c r="U80" s="173">
        <f t="shared" si="28"/>
        <v>1329.1923319289999</v>
      </c>
      <c r="V80" s="173">
        <f t="shared" si="28"/>
        <v>1427.9473221551998</v>
      </c>
    </row>
    <row r="81" spans="1:22" x14ac:dyDescent="0.15">
      <c r="A81" s="194" t="s">
        <v>283</v>
      </c>
      <c r="B81" s="172"/>
      <c r="C81" s="171"/>
      <c r="D81" s="173">
        <f>D63</f>
        <v>3442.2290912394001</v>
      </c>
      <c r="E81" s="173">
        <f t="shared" ref="E81:V81" si="29">E63</f>
        <v>1936.034429868</v>
      </c>
      <c r="F81" s="173">
        <f t="shared" si="29"/>
        <v>1919.9844035063998</v>
      </c>
      <c r="G81" s="173">
        <f t="shared" si="29"/>
        <v>1903.9343771447998</v>
      </c>
      <c r="H81" s="173">
        <f t="shared" si="29"/>
        <v>1887.8843507831998</v>
      </c>
      <c r="I81" s="173">
        <f t="shared" si="29"/>
        <v>1871.8343244215998</v>
      </c>
      <c r="J81" s="173">
        <f t="shared" si="29"/>
        <v>1855.7842980599996</v>
      </c>
      <c r="K81" s="173">
        <f t="shared" si="29"/>
        <v>1839.7342716983999</v>
      </c>
      <c r="L81" s="173">
        <f t="shared" si="29"/>
        <v>1823.6842453367999</v>
      </c>
      <c r="M81" s="173">
        <f t="shared" si="29"/>
        <v>1809.1389089465997</v>
      </c>
      <c r="N81" s="173">
        <f t="shared" si="29"/>
        <v>1795.0951358801997</v>
      </c>
      <c r="O81" s="173">
        <f t="shared" si="29"/>
        <v>1781.0513628137999</v>
      </c>
      <c r="P81" s="173">
        <f t="shared" si="29"/>
        <v>1767.0075897474001</v>
      </c>
      <c r="Q81" s="173">
        <f t="shared" si="29"/>
        <v>1752.9638166809998</v>
      </c>
      <c r="R81" s="173">
        <f t="shared" si="29"/>
        <v>1738.9200436145995</v>
      </c>
      <c r="S81" s="173">
        <f t="shared" si="29"/>
        <v>1724.8762705481997</v>
      </c>
      <c r="T81" s="173">
        <f t="shared" si="29"/>
        <v>1710.8324974817997</v>
      </c>
      <c r="U81" s="173">
        <f t="shared" si="29"/>
        <v>1696.7887244153999</v>
      </c>
      <c r="V81" s="173">
        <f t="shared" si="29"/>
        <v>2102.5534533695995</v>
      </c>
    </row>
    <row r="82" spans="1:22" x14ac:dyDescent="0.15">
      <c r="A82" s="194" t="s">
        <v>284</v>
      </c>
      <c r="B82" s="172"/>
      <c r="C82" s="173">
        <f>C64</f>
        <v>0</v>
      </c>
      <c r="D82" s="173">
        <f t="shared" ref="D82:V82" si="30">D64</f>
        <v>0</v>
      </c>
      <c r="E82" s="173">
        <f t="shared" si="30"/>
        <v>0</v>
      </c>
      <c r="F82" s="173">
        <f t="shared" si="30"/>
        <v>0</v>
      </c>
      <c r="G82" s="173">
        <f t="shared" si="30"/>
        <v>0</v>
      </c>
      <c r="H82" s="173">
        <f t="shared" si="30"/>
        <v>0</v>
      </c>
      <c r="I82" s="173">
        <f t="shared" si="30"/>
        <v>0</v>
      </c>
      <c r="J82" s="173">
        <f t="shared" si="30"/>
        <v>0</v>
      </c>
      <c r="K82" s="173">
        <f t="shared" si="30"/>
        <v>0</v>
      </c>
      <c r="L82" s="173">
        <f t="shared" si="30"/>
        <v>0</v>
      </c>
      <c r="M82" s="173">
        <f t="shared" si="30"/>
        <v>0</v>
      </c>
      <c r="N82" s="173">
        <f t="shared" si="30"/>
        <v>0</v>
      </c>
      <c r="O82" s="173">
        <f t="shared" si="30"/>
        <v>0</v>
      </c>
      <c r="P82" s="173">
        <f t="shared" si="30"/>
        <v>0</v>
      </c>
      <c r="Q82" s="173">
        <f t="shared" si="30"/>
        <v>0</v>
      </c>
      <c r="R82" s="173">
        <f t="shared" si="30"/>
        <v>0</v>
      </c>
      <c r="S82" s="173">
        <f t="shared" si="30"/>
        <v>0</v>
      </c>
      <c r="T82" s="173">
        <f t="shared" si="30"/>
        <v>0</v>
      </c>
      <c r="U82" s="173">
        <f t="shared" si="30"/>
        <v>0</v>
      </c>
      <c r="V82" s="173">
        <f t="shared" si="30"/>
        <v>0</v>
      </c>
    </row>
    <row r="83" spans="1:22" x14ac:dyDescent="0.15">
      <c r="A83" s="195" t="s">
        <v>285</v>
      </c>
      <c r="B83" s="196">
        <f>SUM(B84:B86)</f>
        <v>0</v>
      </c>
      <c r="C83" s="196">
        <f t="shared" ref="C83:V83" si="31">SUM(C84:C86)</f>
        <v>399</v>
      </c>
      <c r="D83" s="196">
        <f t="shared" si="31"/>
        <v>408.45</v>
      </c>
      <c r="E83" s="196">
        <f t="shared" si="31"/>
        <v>482.70499821107398</v>
      </c>
      <c r="F83" s="196">
        <f t="shared" si="31"/>
        <v>494.71633247609037</v>
      </c>
      <c r="G83" s="196">
        <f t="shared" si="31"/>
        <v>526.91023474756355</v>
      </c>
      <c r="H83" s="196">
        <f t="shared" si="31"/>
        <v>1123.3542570816562</v>
      </c>
      <c r="I83" s="196">
        <f t="shared" si="31"/>
        <v>1135.7239568290602</v>
      </c>
      <c r="J83" s="196">
        <f t="shared" si="31"/>
        <v>1149.1349881791389</v>
      </c>
      <c r="K83" s="196">
        <f t="shared" si="31"/>
        <v>1163.63758777874</v>
      </c>
      <c r="L83" s="196">
        <f t="shared" si="31"/>
        <v>1179.2845232961809</v>
      </c>
      <c r="M83" s="196">
        <f t="shared" si="31"/>
        <v>1204.3853796220596</v>
      </c>
      <c r="N83" s="196">
        <f t="shared" si="31"/>
        <v>1223.8142316553024</v>
      </c>
      <c r="O83" s="196">
        <f t="shared" si="31"/>
        <v>1244.5622548497186</v>
      </c>
      <c r="P83" s="196">
        <f t="shared" si="31"/>
        <v>1266.6937231006336</v>
      </c>
      <c r="Q83" s="196">
        <f t="shared" si="31"/>
        <v>1290.276169783423</v>
      </c>
      <c r="R83" s="196">
        <f t="shared" si="31"/>
        <v>1323.0035572930005</v>
      </c>
      <c r="S83" s="196">
        <f t="shared" si="31"/>
        <v>1349.7044555370885</v>
      </c>
      <c r="T83" s="196">
        <f t="shared" si="31"/>
        <v>1351.808726858816</v>
      </c>
      <c r="U83" s="196">
        <f t="shared" si="31"/>
        <v>1354.2541988871578</v>
      </c>
      <c r="V83" s="196">
        <f t="shared" si="31"/>
        <v>1357.0511076433108</v>
      </c>
    </row>
    <row r="84" spans="1:22" x14ac:dyDescent="0.15">
      <c r="A84" s="194" t="s">
        <v>286</v>
      </c>
      <c r="B84" s="172"/>
      <c r="C84" s="173">
        <f>C71</f>
        <v>0</v>
      </c>
      <c r="D84" s="173">
        <f t="shared" ref="D84:V84" si="32">D71</f>
        <v>0</v>
      </c>
      <c r="E84" s="173">
        <f t="shared" si="32"/>
        <v>0</v>
      </c>
      <c r="F84" s="173">
        <f t="shared" si="32"/>
        <v>0</v>
      </c>
      <c r="G84" s="173">
        <f t="shared" si="32"/>
        <v>19.804945120513139</v>
      </c>
      <c r="H84" s="173">
        <f t="shared" si="32"/>
        <v>537.290267123077</v>
      </c>
      <c r="I84" s="173">
        <f t="shared" si="32"/>
        <v>532.71271426153839</v>
      </c>
      <c r="J84" s="173">
        <f t="shared" si="32"/>
        <v>528.13516140000002</v>
      </c>
      <c r="K84" s="173">
        <f t="shared" si="32"/>
        <v>523.55760853846152</v>
      </c>
      <c r="L84" s="173">
        <f t="shared" si="32"/>
        <v>518.98005567692314</v>
      </c>
      <c r="M84" s="173">
        <f t="shared" si="32"/>
        <v>514.97469692307698</v>
      </c>
      <c r="N84" s="173">
        <f t="shared" si="32"/>
        <v>510.96933816923081</v>
      </c>
      <c r="O84" s="173">
        <f t="shared" si="32"/>
        <v>506.96397941538459</v>
      </c>
      <c r="P84" s="173">
        <f t="shared" si="32"/>
        <v>502.95862066153848</v>
      </c>
      <c r="Q84" s="173">
        <f t="shared" si="32"/>
        <v>498.95326190769237</v>
      </c>
      <c r="R84" s="173">
        <f t="shared" si="32"/>
        <v>494.94790315384614</v>
      </c>
      <c r="S84" s="173">
        <f t="shared" si="32"/>
        <v>490.94254439999997</v>
      </c>
      <c r="T84" s="173">
        <f t="shared" si="32"/>
        <v>486.93718564615381</v>
      </c>
      <c r="U84" s="173">
        <f t="shared" si="32"/>
        <v>482.93182689230764</v>
      </c>
      <c r="V84" s="173">
        <f t="shared" si="32"/>
        <v>478.92646813846153</v>
      </c>
    </row>
    <row r="85" spans="1:22" x14ac:dyDescent="0.15">
      <c r="A85" s="194" t="s">
        <v>287</v>
      </c>
      <c r="B85" s="172"/>
      <c r="C85" s="173">
        <f>C70</f>
        <v>399</v>
      </c>
      <c r="D85" s="173">
        <f t="shared" ref="D85:V85" si="33">D70</f>
        <v>408.45</v>
      </c>
      <c r="E85" s="173">
        <f t="shared" si="33"/>
        <v>418.18349999999998</v>
      </c>
      <c r="F85" s="173">
        <f t="shared" si="33"/>
        <v>428.20900499999999</v>
      </c>
      <c r="G85" s="173">
        <f t="shared" si="33"/>
        <v>438.53527514999996</v>
      </c>
      <c r="H85" s="173">
        <f t="shared" si="33"/>
        <v>457.57133340449991</v>
      </c>
      <c r="I85" s="173">
        <f t="shared" si="33"/>
        <v>468.52647340663498</v>
      </c>
      <c r="J85" s="173">
        <f t="shared" si="33"/>
        <v>479.81026760883401</v>
      </c>
      <c r="K85" s="173">
        <f t="shared" si="33"/>
        <v>491.43257563709903</v>
      </c>
      <c r="L85" s="173">
        <f t="shared" si="33"/>
        <v>503.40355290621198</v>
      </c>
      <c r="M85" s="173">
        <f t="shared" si="33"/>
        <v>524.97365949339837</v>
      </c>
      <c r="N85" s="173">
        <f t="shared" si="33"/>
        <v>537.67366927820035</v>
      </c>
      <c r="O85" s="173">
        <f t="shared" si="33"/>
        <v>550.75467935654626</v>
      </c>
      <c r="P85" s="173">
        <f t="shared" si="33"/>
        <v>564.22811973724265</v>
      </c>
      <c r="Q85" s="173">
        <f t="shared" si="33"/>
        <v>578.10576332936</v>
      </c>
      <c r="R85" s="173">
        <f t="shared" si="33"/>
        <v>602.56373622924082</v>
      </c>
      <c r="S85" s="173">
        <f t="shared" si="33"/>
        <v>617.28652831611794</v>
      </c>
      <c r="T85" s="173">
        <f t="shared" si="33"/>
        <v>632.45100416560149</v>
      </c>
      <c r="U85" s="173">
        <f t="shared" si="33"/>
        <v>648.07041429056949</v>
      </c>
      <c r="V85" s="173">
        <f t="shared" si="33"/>
        <v>664.15840671928652</v>
      </c>
    </row>
    <row r="86" spans="1:22" x14ac:dyDescent="0.15">
      <c r="A86" s="194" t="s">
        <v>250</v>
      </c>
      <c r="B86" s="172"/>
      <c r="C86" s="173">
        <f>C72</f>
        <v>0</v>
      </c>
      <c r="D86" s="173">
        <f t="shared" ref="D86:V86" si="34">D72</f>
        <v>0</v>
      </c>
      <c r="E86" s="173">
        <f t="shared" si="34"/>
        <v>64.521498211074004</v>
      </c>
      <c r="F86" s="173">
        <f t="shared" si="34"/>
        <v>66.507327476090381</v>
      </c>
      <c r="G86" s="173">
        <f t="shared" si="34"/>
        <v>68.570014477050421</v>
      </c>
      <c r="H86" s="173">
        <f t="shared" si="34"/>
        <v>128.49265655407919</v>
      </c>
      <c r="I86" s="173">
        <f t="shared" si="34"/>
        <v>134.48476916088691</v>
      </c>
      <c r="J86" s="173">
        <f t="shared" si="34"/>
        <v>141.18955917030496</v>
      </c>
      <c r="K86" s="173">
        <f t="shared" si="34"/>
        <v>148.64740360317955</v>
      </c>
      <c r="L86" s="173">
        <f t="shared" si="34"/>
        <v>156.90091471304572</v>
      </c>
      <c r="M86" s="173">
        <f t="shared" si="34"/>
        <v>164.43702320558452</v>
      </c>
      <c r="N86" s="173">
        <f t="shared" si="34"/>
        <v>175.17122420787132</v>
      </c>
      <c r="O86" s="173">
        <f t="shared" si="34"/>
        <v>186.84359607778765</v>
      </c>
      <c r="P86" s="173">
        <f t="shared" si="34"/>
        <v>199.50698270185251</v>
      </c>
      <c r="Q86" s="173">
        <f t="shared" si="34"/>
        <v>213.21714454637078</v>
      </c>
      <c r="R86" s="173">
        <f t="shared" si="34"/>
        <v>225.49191790991358</v>
      </c>
      <c r="S86" s="173">
        <f t="shared" si="34"/>
        <v>241.47538282097037</v>
      </c>
      <c r="T86" s="173">
        <f t="shared" si="34"/>
        <v>232.42053704706098</v>
      </c>
      <c r="U86" s="173">
        <f t="shared" si="34"/>
        <v>223.25195770428058</v>
      </c>
      <c r="V86" s="173">
        <f t="shared" si="34"/>
        <v>213.96623278556297</v>
      </c>
    </row>
    <row r="87" spans="1:22" x14ac:dyDescent="0.15">
      <c r="A87" s="177" t="s">
        <v>288</v>
      </c>
      <c r="B87" s="178">
        <f>B88-B89</f>
        <v>-24642.000000000004</v>
      </c>
      <c r="C87" s="178">
        <f t="shared" ref="C87:V87" si="35">C88-C89</f>
        <v>0</v>
      </c>
      <c r="D87" s="178">
        <f t="shared" si="35"/>
        <v>0</v>
      </c>
      <c r="E87" s="178">
        <f t="shared" si="35"/>
        <v>0</v>
      </c>
      <c r="F87" s="178">
        <f t="shared" si="35"/>
        <v>0</v>
      </c>
      <c r="G87" s="178">
        <f t="shared" si="35"/>
        <v>0</v>
      </c>
      <c r="H87" s="178">
        <f t="shared" si="35"/>
        <v>0</v>
      </c>
      <c r="I87" s="178">
        <f t="shared" si="35"/>
        <v>0</v>
      </c>
      <c r="J87" s="178">
        <f t="shared" si="35"/>
        <v>0</v>
      </c>
      <c r="K87" s="178">
        <f t="shared" si="35"/>
        <v>0</v>
      </c>
      <c r="L87" s="178">
        <f t="shared" si="35"/>
        <v>0</v>
      </c>
      <c r="M87" s="178">
        <f t="shared" si="35"/>
        <v>0</v>
      </c>
      <c r="N87" s="178">
        <f t="shared" si="35"/>
        <v>0</v>
      </c>
      <c r="O87" s="178">
        <f t="shared" si="35"/>
        <v>0</v>
      </c>
      <c r="P87" s="178">
        <f t="shared" si="35"/>
        <v>0</v>
      </c>
      <c r="Q87" s="178">
        <f t="shared" si="35"/>
        <v>0</v>
      </c>
      <c r="R87" s="178">
        <f t="shared" si="35"/>
        <v>0</v>
      </c>
      <c r="S87" s="178">
        <f t="shared" si="35"/>
        <v>0</v>
      </c>
      <c r="T87" s="178">
        <f t="shared" si="35"/>
        <v>0</v>
      </c>
      <c r="U87" s="178">
        <f t="shared" si="35"/>
        <v>0</v>
      </c>
      <c r="V87" s="178">
        <f t="shared" si="35"/>
        <v>2200.0933333333337</v>
      </c>
    </row>
    <row r="88" spans="1:22" x14ac:dyDescent="0.15">
      <c r="A88" s="181" t="s">
        <v>289</v>
      </c>
      <c r="B88" s="197"/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1">
        <f>V65</f>
        <v>2200.0933333333337</v>
      </c>
    </row>
    <row r="89" spans="1:22" x14ac:dyDescent="0.15">
      <c r="A89" s="181" t="s">
        <v>260</v>
      </c>
      <c r="B89" s="197">
        <f>SUM(B90)</f>
        <v>24642.000000000004</v>
      </c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</row>
    <row r="90" spans="1:22" x14ac:dyDescent="0.15">
      <c r="A90" s="194" t="s">
        <v>290</v>
      </c>
      <c r="B90" s="197">
        <f>测算模型!$I$16/10000</f>
        <v>24642.000000000004</v>
      </c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</row>
    <row r="91" spans="1:22" x14ac:dyDescent="0.15">
      <c r="A91" s="177" t="s">
        <v>291</v>
      </c>
      <c r="B91" s="208">
        <f>B92-B95</f>
        <v>24642.000000000007</v>
      </c>
      <c r="C91" s="208">
        <f t="shared" ref="C91:R91" si="36">C92-C95</f>
        <v>-1062.5630400000005</v>
      </c>
      <c r="D91" s="208">
        <f t="shared" si="36"/>
        <v>-1949.6477181100413</v>
      </c>
      <c r="E91" s="208">
        <f t="shared" si="36"/>
        <v>-1949.6477181100413</v>
      </c>
      <c r="F91" s="208">
        <f t="shared" si="36"/>
        <v>-1949.6477181100413</v>
      </c>
      <c r="G91" s="208">
        <f t="shared" si="36"/>
        <v>-1949.6477181100413</v>
      </c>
      <c r="H91" s="208">
        <f t="shared" si="36"/>
        <v>-1949.6477181100413</v>
      </c>
      <c r="I91" s="208">
        <f t="shared" si="36"/>
        <v>-1949.6477181100413</v>
      </c>
      <c r="J91" s="208">
        <f t="shared" si="36"/>
        <v>-1949.6477181100413</v>
      </c>
      <c r="K91" s="208">
        <f t="shared" si="36"/>
        <v>-1949.6477181100413</v>
      </c>
      <c r="L91" s="208">
        <f t="shared" si="36"/>
        <v>-1949.6477181100413</v>
      </c>
      <c r="M91" s="208">
        <f t="shared" si="36"/>
        <v>-1949.6477181100413</v>
      </c>
      <c r="N91" s="208">
        <f t="shared" si="36"/>
        <v>-1949.6477181100413</v>
      </c>
      <c r="O91" s="208">
        <f t="shared" si="36"/>
        <v>-1949.6477181100413</v>
      </c>
      <c r="P91" s="208">
        <f t="shared" si="36"/>
        <v>-1949.6477181100413</v>
      </c>
      <c r="Q91" s="208">
        <f t="shared" si="36"/>
        <v>-1949.6477181100413</v>
      </c>
      <c r="R91" s="208">
        <f t="shared" si="36"/>
        <v>-1949.6477181100413</v>
      </c>
      <c r="S91" s="208">
        <f t="shared" ref="S91" si="37">S92-S95</f>
        <v>0</v>
      </c>
      <c r="T91" s="208">
        <f t="shared" ref="T91" si="38">T92-T95</f>
        <v>0</v>
      </c>
      <c r="U91" s="208">
        <f t="shared" ref="U91" si="39">U92-U95</f>
        <v>0</v>
      </c>
      <c r="V91" s="208">
        <f t="shared" ref="V91" si="40">V92-V95</f>
        <v>0</v>
      </c>
    </row>
    <row r="92" spans="1:22" x14ac:dyDescent="0.15">
      <c r="A92" s="199" t="s">
        <v>289</v>
      </c>
      <c r="B92" s="198">
        <f>SUM(B93:B94)</f>
        <v>24642.000000000007</v>
      </c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</row>
    <row r="93" spans="1:22" x14ac:dyDescent="0.15">
      <c r="A93" s="200" t="s">
        <v>292</v>
      </c>
      <c r="B93" s="198">
        <f>测算模型!$I$16/10000*测算模型!$F$36</f>
        <v>4928.3999999999996</v>
      </c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</row>
    <row r="94" spans="1:22" x14ac:dyDescent="0.15">
      <c r="A94" s="200" t="s">
        <v>293</v>
      </c>
      <c r="B94" s="198">
        <f>测算模型!$I$16/10000*(1-测算模型!$F$36)</f>
        <v>19713.600000000006</v>
      </c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</row>
    <row r="95" spans="1:22" x14ac:dyDescent="0.15">
      <c r="A95" s="199" t="s">
        <v>260</v>
      </c>
      <c r="B95" s="202">
        <f>SUM(B96:B98)</f>
        <v>0</v>
      </c>
      <c r="C95" s="202">
        <f t="shared" ref="C95:R95" si="41">SUM(C96:C98)</f>
        <v>1062.5630400000005</v>
      </c>
      <c r="D95" s="202">
        <f t="shared" si="41"/>
        <v>1949.6477181100413</v>
      </c>
      <c r="E95" s="202">
        <f t="shared" si="41"/>
        <v>1949.6477181100413</v>
      </c>
      <c r="F95" s="202">
        <f t="shared" si="41"/>
        <v>1949.6477181100413</v>
      </c>
      <c r="G95" s="202">
        <f t="shared" si="41"/>
        <v>1949.6477181100413</v>
      </c>
      <c r="H95" s="202">
        <f t="shared" si="41"/>
        <v>1949.6477181100413</v>
      </c>
      <c r="I95" s="202">
        <f t="shared" si="41"/>
        <v>1949.6477181100413</v>
      </c>
      <c r="J95" s="202">
        <f t="shared" si="41"/>
        <v>1949.6477181100413</v>
      </c>
      <c r="K95" s="202">
        <f t="shared" si="41"/>
        <v>1949.6477181100413</v>
      </c>
      <c r="L95" s="202">
        <f t="shared" si="41"/>
        <v>1949.6477181100413</v>
      </c>
      <c r="M95" s="202">
        <f t="shared" si="41"/>
        <v>1949.6477181100413</v>
      </c>
      <c r="N95" s="202">
        <f t="shared" si="41"/>
        <v>1949.6477181100413</v>
      </c>
      <c r="O95" s="202">
        <f t="shared" si="41"/>
        <v>1949.6477181100413</v>
      </c>
      <c r="P95" s="202">
        <f t="shared" si="41"/>
        <v>1949.6477181100413</v>
      </c>
      <c r="Q95" s="202">
        <f t="shared" si="41"/>
        <v>1949.6477181100413</v>
      </c>
      <c r="R95" s="202">
        <f t="shared" si="41"/>
        <v>1949.6477181100413</v>
      </c>
      <c r="S95" s="202"/>
      <c r="T95" s="202"/>
      <c r="U95" s="202"/>
      <c r="V95" s="202"/>
    </row>
    <row r="96" spans="1:22" x14ac:dyDescent="0.15">
      <c r="A96" s="200" t="s">
        <v>294</v>
      </c>
      <c r="B96" s="198"/>
      <c r="C96" s="198"/>
      <c r="D96" s="201">
        <f>D68</f>
        <v>887.08467811004084</v>
      </c>
      <c r="E96" s="201">
        <f t="shared" ref="E96:Q96" si="42">E68</f>
        <v>934.89854226017212</v>
      </c>
      <c r="F96" s="201">
        <f t="shared" si="42"/>
        <v>985.28957368799547</v>
      </c>
      <c r="G96" s="201">
        <f t="shared" si="42"/>
        <v>1038.3966817097785</v>
      </c>
      <c r="H96" s="201">
        <f t="shared" si="42"/>
        <v>1094.3662628539355</v>
      </c>
      <c r="I96" s="201">
        <f t="shared" si="42"/>
        <v>1153.3526044217624</v>
      </c>
      <c r="J96" s="201">
        <f t="shared" si="42"/>
        <v>1215.5183098000955</v>
      </c>
      <c r="K96" s="201">
        <f t="shared" si="42"/>
        <v>1281.0347466983208</v>
      </c>
      <c r="L96" s="201">
        <f t="shared" si="42"/>
        <v>1350.0825195453601</v>
      </c>
      <c r="M96" s="201">
        <f t="shared" si="42"/>
        <v>1422.8519673488549</v>
      </c>
      <c r="N96" s="201">
        <f t="shared" si="42"/>
        <v>1499.5436883889583</v>
      </c>
      <c r="O96" s="201">
        <f t="shared" si="42"/>
        <v>1580.3690931931233</v>
      </c>
      <c r="P96" s="201">
        <f t="shared" si="42"/>
        <v>1665.5509873162325</v>
      </c>
      <c r="Q96" s="201">
        <f t="shared" si="42"/>
        <v>1755.3241855325775</v>
      </c>
      <c r="R96" s="201">
        <f>R68</f>
        <v>1849.9361591327834</v>
      </c>
      <c r="S96" s="198"/>
      <c r="T96" s="198"/>
      <c r="U96" s="198"/>
      <c r="V96" s="198"/>
    </row>
    <row r="97" spans="1:22" x14ac:dyDescent="0.15">
      <c r="A97" s="200" t="s">
        <v>295</v>
      </c>
      <c r="B97" s="198"/>
      <c r="C97" s="201">
        <f>C69</f>
        <v>1062.5630400000005</v>
      </c>
      <c r="D97" s="201">
        <f t="shared" ref="D97:R97" si="43">D69</f>
        <v>1062.5630400000005</v>
      </c>
      <c r="E97" s="201">
        <f t="shared" si="43"/>
        <v>1014.7491758498692</v>
      </c>
      <c r="F97" s="201">
        <f t="shared" si="43"/>
        <v>964.35814442204583</v>
      </c>
      <c r="G97" s="201">
        <f t="shared" si="43"/>
        <v>911.25103640026293</v>
      </c>
      <c r="H97" s="201">
        <f t="shared" si="43"/>
        <v>855.28145525610591</v>
      </c>
      <c r="I97" s="201">
        <f t="shared" si="43"/>
        <v>796.29511368827878</v>
      </c>
      <c r="J97" s="201">
        <f t="shared" si="43"/>
        <v>734.1294083099458</v>
      </c>
      <c r="K97" s="201">
        <f t="shared" si="43"/>
        <v>668.61297141172065</v>
      </c>
      <c r="L97" s="201">
        <f t="shared" si="43"/>
        <v>599.56519856468117</v>
      </c>
      <c r="M97" s="201">
        <f t="shared" si="43"/>
        <v>526.79575076118624</v>
      </c>
      <c r="N97" s="201">
        <f t="shared" si="43"/>
        <v>450.10402972108295</v>
      </c>
      <c r="O97" s="201">
        <f t="shared" si="43"/>
        <v>369.27862491691809</v>
      </c>
      <c r="P97" s="201">
        <f t="shared" si="43"/>
        <v>284.09673079380877</v>
      </c>
      <c r="Q97" s="201">
        <f t="shared" si="43"/>
        <v>194.32353257746382</v>
      </c>
      <c r="R97" s="201">
        <f t="shared" si="43"/>
        <v>99.71155897725788</v>
      </c>
      <c r="S97" s="198"/>
      <c r="T97" s="198"/>
      <c r="U97" s="198"/>
      <c r="V97" s="198"/>
    </row>
    <row r="98" spans="1:22" x14ac:dyDescent="0.15">
      <c r="A98" s="200" t="s">
        <v>296</v>
      </c>
      <c r="B98" s="198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</row>
    <row r="99" spans="1:22" s="244" customFormat="1" x14ac:dyDescent="0.15">
      <c r="A99" s="243" t="s">
        <v>297</v>
      </c>
      <c r="B99" s="207">
        <f>B78+B87+B91</f>
        <v>0</v>
      </c>
      <c r="C99" s="207">
        <f t="shared" ref="C99:V99" si="44">C78+C87+C91</f>
        <v>-36.960010342500482</v>
      </c>
      <c r="D99" s="207">
        <f t="shared" si="44"/>
        <v>2614.4402754592588</v>
      </c>
      <c r="E99" s="207">
        <f t="shared" si="44"/>
        <v>1020.2855740724849</v>
      </c>
      <c r="F99" s="207">
        <f t="shared" si="44"/>
        <v>979.63393580746788</v>
      </c>
      <c r="G99" s="207">
        <f t="shared" si="44"/>
        <v>918.79972953599463</v>
      </c>
      <c r="H99" s="207">
        <f t="shared" si="44"/>
        <v>293.71540320190206</v>
      </c>
      <c r="I99" s="207">
        <f t="shared" si="44"/>
        <v>252.70539945449855</v>
      </c>
      <c r="J99" s="207">
        <f t="shared" si="44"/>
        <v>210.65406410441938</v>
      </c>
      <c r="K99" s="207">
        <f t="shared" si="44"/>
        <v>167.51116050481869</v>
      </c>
      <c r="L99" s="207">
        <f t="shared" si="44"/>
        <v>123.22392098737737</v>
      </c>
      <c r="M99" s="207">
        <f t="shared" si="44"/>
        <v>72.43008661229851</v>
      </c>
      <c r="N99" s="207">
        <f t="shared" si="44"/>
        <v>27.940968579055834</v>
      </c>
      <c r="O99" s="207">
        <f t="shared" si="44"/>
        <v>-17.867320615360313</v>
      </c>
      <c r="P99" s="207">
        <f t="shared" si="44"/>
        <v>-65.059054866274892</v>
      </c>
      <c r="Q99" s="207">
        <f t="shared" si="44"/>
        <v>-113.7017675490647</v>
      </c>
      <c r="R99" s="207">
        <f t="shared" si="44"/>
        <v>-171.48942105864262</v>
      </c>
      <c r="S99" s="207">
        <f t="shared" si="44"/>
        <v>1726.3971328073112</v>
      </c>
      <c r="T99" s="207">
        <f t="shared" si="44"/>
        <v>1699.2325954855833</v>
      </c>
      <c r="U99" s="207">
        <f t="shared" si="44"/>
        <v>1671.726857457242</v>
      </c>
      <c r="V99" s="207">
        <f t="shared" si="44"/>
        <v>4373.5430012148227</v>
      </c>
    </row>
    <row r="100" spans="1:22" x14ac:dyDescent="0.15">
      <c r="A100" s="177" t="s">
        <v>298</v>
      </c>
      <c r="B100" s="203">
        <f>B99</f>
        <v>0</v>
      </c>
      <c r="C100" s="207">
        <f>C99+B100</f>
        <v>-36.960010342500482</v>
      </c>
      <c r="D100" s="203">
        <f t="shared" ref="D100:V100" si="45">D99+C100</f>
        <v>2577.4802651167583</v>
      </c>
      <c r="E100" s="203">
        <f t="shared" si="45"/>
        <v>3597.7658391892433</v>
      </c>
      <c r="F100" s="203">
        <f t="shared" si="45"/>
        <v>4577.3997749967111</v>
      </c>
      <c r="G100" s="203">
        <f t="shared" si="45"/>
        <v>5496.1995045327058</v>
      </c>
      <c r="H100" s="203">
        <f t="shared" si="45"/>
        <v>5789.9149077346083</v>
      </c>
      <c r="I100" s="203">
        <f t="shared" si="45"/>
        <v>6042.6203071891068</v>
      </c>
      <c r="J100" s="203">
        <f t="shared" si="45"/>
        <v>6253.2743712935262</v>
      </c>
      <c r="K100" s="203">
        <f t="shared" si="45"/>
        <v>6420.7855317983449</v>
      </c>
      <c r="L100" s="203">
        <f t="shared" si="45"/>
        <v>6544.0094527857218</v>
      </c>
      <c r="M100" s="203">
        <f t="shared" si="45"/>
        <v>6616.4395393980203</v>
      </c>
      <c r="N100" s="203">
        <f t="shared" si="45"/>
        <v>6644.3805079770764</v>
      </c>
      <c r="O100" s="203">
        <f t="shared" si="45"/>
        <v>6626.5131873617156</v>
      </c>
      <c r="P100" s="203">
        <f t="shared" si="45"/>
        <v>6561.4541324954407</v>
      </c>
      <c r="Q100" s="203">
        <f t="shared" si="45"/>
        <v>6447.7523649463765</v>
      </c>
      <c r="R100" s="203">
        <f t="shared" si="45"/>
        <v>6276.2629438877339</v>
      </c>
      <c r="S100" s="203">
        <f t="shared" si="45"/>
        <v>8002.6600766950451</v>
      </c>
      <c r="T100" s="203">
        <f t="shared" si="45"/>
        <v>9701.8926721806274</v>
      </c>
      <c r="U100" s="203">
        <f t="shared" si="45"/>
        <v>11373.61952963787</v>
      </c>
      <c r="V100" s="203">
        <f t="shared" si="45"/>
        <v>15747.162530852693</v>
      </c>
    </row>
    <row r="102" spans="1:22" x14ac:dyDescent="0.15">
      <c r="A102" s="189" t="s">
        <v>299</v>
      </c>
    </row>
    <row r="103" spans="1:22" ht="15" x14ac:dyDescent="0.15">
      <c r="A103" s="192" t="s">
        <v>274</v>
      </c>
      <c r="B103" s="193">
        <v>0</v>
      </c>
      <c r="C103" s="193">
        <v>1</v>
      </c>
      <c r="D103" s="193">
        <v>2</v>
      </c>
      <c r="E103" s="193">
        <v>3</v>
      </c>
      <c r="F103" s="193">
        <v>4</v>
      </c>
      <c r="G103" s="193">
        <v>5</v>
      </c>
      <c r="H103" s="193">
        <v>6</v>
      </c>
      <c r="I103" s="193">
        <v>7</v>
      </c>
      <c r="J103" s="193">
        <v>8</v>
      </c>
      <c r="K103" s="193">
        <v>9</v>
      </c>
      <c r="L103" s="193">
        <v>10</v>
      </c>
      <c r="M103" s="193">
        <v>11</v>
      </c>
      <c r="N103" s="193">
        <v>12</v>
      </c>
      <c r="O103" s="193">
        <v>13</v>
      </c>
      <c r="P103" s="193">
        <v>14</v>
      </c>
      <c r="Q103" s="193">
        <v>15</v>
      </c>
      <c r="R103" s="193">
        <v>16</v>
      </c>
      <c r="S103" s="193">
        <v>17</v>
      </c>
      <c r="T103" s="193">
        <v>18</v>
      </c>
      <c r="U103" s="193">
        <v>19</v>
      </c>
      <c r="V103" s="193">
        <v>20</v>
      </c>
    </row>
    <row r="104" spans="1:22" x14ac:dyDescent="0.15">
      <c r="A104" s="204" t="s">
        <v>278</v>
      </c>
      <c r="B104" s="206">
        <f>SUM(B105:B108)</f>
        <v>24642.000000000004</v>
      </c>
      <c r="C104" s="206">
        <f t="shared" ref="C104:V104" si="46">SUM(C105:C108)</f>
        <v>24317.423551120733</v>
      </c>
      <c r="D104" s="206">
        <f t="shared" si="46"/>
        <v>23885.095522706713</v>
      </c>
      <c r="E104" s="206">
        <f t="shared" si="46"/>
        <v>23351.456436496235</v>
      </c>
      <c r="F104" s="206">
        <f t="shared" si="46"/>
        <v>22778.611047119091</v>
      </c>
      <c r="G104" s="206">
        <f t="shared" si="46"/>
        <v>22164.234885604506</v>
      </c>
      <c r="H104" s="206">
        <f t="shared" si="46"/>
        <v>21396.360250844984</v>
      </c>
      <c r="I104" s="206">
        <f t="shared" si="46"/>
        <v>20584.296248527549</v>
      </c>
      <c r="J104" s="206">
        <f t="shared" si="46"/>
        <v>19726.830179340141</v>
      </c>
      <c r="K104" s="206">
        <f t="shared" si="46"/>
        <v>18822.689870604321</v>
      </c>
      <c r="L104" s="206">
        <f t="shared" si="46"/>
        <v>17870.540647394606</v>
      </c>
      <c r="M104" s="206">
        <f t="shared" si="46"/>
        <v>16864.308028622399</v>
      </c>
      <c r="N104" s="206">
        <f t="shared" si="46"/>
        <v>15809.45260805289</v>
      </c>
      <c r="O104" s="206">
        <f t="shared" si="46"/>
        <v>14704.43240897002</v>
      </c>
      <c r="P104" s="206">
        <f t="shared" si="46"/>
        <v>13547.629171543</v>
      </c>
      <c r="Q104" s="206">
        <f t="shared" si="46"/>
        <v>12337.34444604933</v>
      </c>
      <c r="R104" s="206">
        <f t="shared" si="46"/>
        <v>13013.820199779055</v>
      </c>
      <c r="S104" s="206">
        <f t="shared" si="46"/>
        <v>13738.246348241966</v>
      </c>
      <c r="T104" s="206">
        <f t="shared" si="46"/>
        <v>14435.507959383149</v>
      </c>
      <c r="U104" s="206">
        <f t="shared" si="46"/>
        <v>15105.263832495992</v>
      </c>
      <c r="V104" s="206">
        <f t="shared" si="46"/>
        <v>15747.162530852678</v>
      </c>
    </row>
    <row r="105" spans="1:22" x14ac:dyDescent="0.15">
      <c r="A105" s="180" t="s">
        <v>310</v>
      </c>
      <c r="B105" s="196">
        <f>B109-SUM(B106:B108)</f>
        <v>0</v>
      </c>
      <c r="C105" s="196">
        <f t="shared" ref="C105:V105" si="47">C109-SUM(C106:C108)</f>
        <v>673.2146577873973</v>
      </c>
      <c r="D105" s="196">
        <f t="shared" si="47"/>
        <v>1238.4286293733785</v>
      </c>
      <c r="E105" s="196">
        <f t="shared" si="47"/>
        <v>1702.3315431629017</v>
      </c>
      <c r="F105" s="196">
        <f t="shared" si="47"/>
        <v>2127.0281537857591</v>
      </c>
      <c r="G105" s="196">
        <f t="shared" si="47"/>
        <v>2510.1939922711754</v>
      </c>
      <c r="H105" s="196">
        <f t="shared" si="47"/>
        <v>2739.8613575116542</v>
      </c>
      <c r="I105" s="196">
        <f t="shared" si="47"/>
        <v>2925.3393551942208</v>
      </c>
      <c r="J105" s="196">
        <f t="shared" si="47"/>
        <v>3065.4152860068134</v>
      </c>
      <c r="K105" s="196">
        <f t="shared" si="47"/>
        <v>3158.8169772709934</v>
      </c>
      <c r="L105" s="196">
        <f t="shared" si="47"/>
        <v>3204.2097540612776</v>
      </c>
      <c r="M105" s="196">
        <f t="shared" si="47"/>
        <v>3195.5191352890706</v>
      </c>
      <c r="N105" s="196">
        <f t="shared" si="47"/>
        <v>3138.205714719561</v>
      </c>
      <c r="O105" s="196">
        <f t="shared" si="47"/>
        <v>3030.7275156366904</v>
      </c>
      <c r="P105" s="196">
        <f t="shared" si="47"/>
        <v>2871.4662782096693</v>
      </c>
      <c r="Q105" s="196">
        <f t="shared" si="47"/>
        <v>2658.7235527159992</v>
      </c>
      <c r="R105" s="196">
        <f t="shared" si="47"/>
        <v>4332.7413064457232</v>
      </c>
      <c r="S105" s="196">
        <f t="shared" si="47"/>
        <v>6054.7094549086351</v>
      </c>
      <c r="T105" s="196">
        <f t="shared" si="47"/>
        <v>7749.513066049818</v>
      </c>
      <c r="U105" s="196">
        <f t="shared" si="47"/>
        <v>9416.8109391626604</v>
      </c>
      <c r="V105" s="196">
        <f t="shared" si="47"/>
        <v>11056.251637519348</v>
      </c>
    </row>
    <row r="106" spans="1:22" x14ac:dyDescent="0.15">
      <c r="A106" s="181" t="s">
        <v>300</v>
      </c>
      <c r="B106" s="197">
        <f>测算模型!I16/10000</f>
        <v>24642.000000000004</v>
      </c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</row>
    <row r="107" spans="1:22" x14ac:dyDescent="0.15">
      <c r="A107" s="181" t="s">
        <v>301</v>
      </c>
      <c r="B107" s="197"/>
      <c r="C107" s="184">
        <f>(测算模型!$I$16-测算模型!$I$20-测算模型!$I$21-测算模型!$I$40)/10000-C33</f>
        <v>23501.708893333336</v>
      </c>
      <c r="D107" s="184">
        <f>C107-D33</f>
        <v>22511.666893333335</v>
      </c>
      <c r="E107" s="184">
        <f t="shared" ref="E107:V107" si="48">D107-E33</f>
        <v>21521.624893333334</v>
      </c>
      <c r="F107" s="184">
        <f t="shared" si="48"/>
        <v>20531.582893333332</v>
      </c>
      <c r="G107" s="184">
        <f t="shared" si="48"/>
        <v>19541.540893333331</v>
      </c>
      <c r="H107" s="184">
        <f t="shared" si="48"/>
        <v>18551.49889333333</v>
      </c>
      <c r="I107" s="184">
        <f t="shared" si="48"/>
        <v>17561.456893333328</v>
      </c>
      <c r="J107" s="184">
        <f t="shared" si="48"/>
        <v>16571.414893333327</v>
      </c>
      <c r="K107" s="184">
        <f t="shared" si="48"/>
        <v>15581.372893333328</v>
      </c>
      <c r="L107" s="184">
        <f t="shared" si="48"/>
        <v>14591.330893333328</v>
      </c>
      <c r="M107" s="184">
        <f t="shared" si="48"/>
        <v>13601.288893333329</v>
      </c>
      <c r="N107" s="184">
        <f t="shared" si="48"/>
        <v>12611.246893333329</v>
      </c>
      <c r="O107" s="184">
        <f t="shared" si="48"/>
        <v>11621.20489333333</v>
      </c>
      <c r="P107" s="184">
        <f t="shared" si="48"/>
        <v>10631.16289333333</v>
      </c>
      <c r="Q107" s="184">
        <f t="shared" si="48"/>
        <v>9641.120893333331</v>
      </c>
      <c r="R107" s="184">
        <f t="shared" si="48"/>
        <v>8651.0788933333315</v>
      </c>
      <c r="S107" s="184">
        <f t="shared" si="48"/>
        <v>7661.0368933333311</v>
      </c>
      <c r="T107" s="184">
        <f t="shared" si="48"/>
        <v>6670.9948933333308</v>
      </c>
      <c r="U107" s="184">
        <f t="shared" si="48"/>
        <v>5680.9528933333304</v>
      </c>
      <c r="V107" s="184">
        <f t="shared" si="48"/>
        <v>4690.91089333333</v>
      </c>
    </row>
    <row r="108" spans="1:22" x14ac:dyDescent="0.15">
      <c r="A108" s="181" t="s">
        <v>302</v>
      </c>
      <c r="B108" s="197"/>
      <c r="C108" s="184">
        <f>(测算模型!$I$20+测算模型!$I$21)/10000-C34</f>
        <v>142.5</v>
      </c>
      <c r="D108" s="184">
        <f t="shared" ref="D108:V108" si="49">C108-D34</f>
        <v>135</v>
      </c>
      <c r="E108" s="184">
        <f t="shared" si="49"/>
        <v>127.5</v>
      </c>
      <c r="F108" s="184">
        <f t="shared" si="49"/>
        <v>120</v>
      </c>
      <c r="G108" s="184">
        <f t="shared" si="49"/>
        <v>112.5</v>
      </c>
      <c r="H108" s="184">
        <f t="shared" si="49"/>
        <v>105</v>
      </c>
      <c r="I108" s="184">
        <f t="shared" si="49"/>
        <v>97.5</v>
      </c>
      <c r="J108" s="184">
        <f t="shared" si="49"/>
        <v>90</v>
      </c>
      <c r="K108" s="184">
        <f t="shared" si="49"/>
        <v>82.5</v>
      </c>
      <c r="L108" s="184">
        <f t="shared" si="49"/>
        <v>75</v>
      </c>
      <c r="M108" s="184">
        <f t="shared" si="49"/>
        <v>67.5</v>
      </c>
      <c r="N108" s="184">
        <f t="shared" si="49"/>
        <v>60</v>
      </c>
      <c r="O108" s="184">
        <f t="shared" si="49"/>
        <v>52.5</v>
      </c>
      <c r="P108" s="184">
        <f t="shared" si="49"/>
        <v>45</v>
      </c>
      <c r="Q108" s="184">
        <f t="shared" si="49"/>
        <v>37.5</v>
      </c>
      <c r="R108" s="184">
        <f t="shared" si="49"/>
        <v>30</v>
      </c>
      <c r="S108" s="184">
        <f t="shared" si="49"/>
        <v>22.5</v>
      </c>
      <c r="T108" s="184">
        <f t="shared" si="49"/>
        <v>15</v>
      </c>
      <c r="U108" s="184">
        <f t="shared" si="49"/>
        <v>7.5</v>
      </c>
      <c r="V108" s="184">
        <f t="shared" si="49"/>
        <v>0</v>
      </c>
    </row>
    <row r="109" spans="1:22" x14ac:dyDescent="0.15">
      <c r="A109" s="177" t="s">
        <v>303</v>
      </c>
      <c r="B109" s="208">
        <f t="shared" ref="B109:V109" si="50">B110+B112</f>
        <v>24642.000000000007</v>
      </c>
      <c r="C109" s="208">
        <f t="shared" si="50"/>
        <v>24317.423551120733</v>
      </c>
      <c r="D109" s="208">
        <f t="shared" si="50"/>
        <v>23885.095522706713</v>
      </c>
      <c r="E109" s="208">
        <f t="shared" si="50"/>
        <v>23351.456436496235</v>
      </c>
      <c r="F109" s="208">
        <f t="shared" si="50"/>
        <v>22778.611047119091</v>
      </c>
      <c r="G109" s="208">
        <f t="shared" si="50"/>
        <v>22164.234885604506</v>
      </c>
      <c r="H109" s="208">
        <f t="shared" si="50"/>
        <v>21396.360250844984</v>
      </c>
      <c r="I109" s="208">
        <f t="shared" si="50"/>
        <v>20584.296248527549</v>
      </c>
      <c r="J109" s="208">
        <f t="shared" si="50"/>
        <v>19726.830179340141</v>
      </c>
      <c r="K109" s="208">
        <f t="shared" si="50"/>
        <v>18822.689870604321</v>
      </c>
      <c r="L109" s="208">
        <f t="shared" si="50"/>
        <v>17870.540647394606</v>
      </c>
      <c r="M109" s="208">
        <f t="shared" si="50"/>
        <v>16864.308028622399</v>
      </c>
      <c r="N109" s="208">
        <f t="shared" si="50"/>
        <v>15809.45260805289</v>
      </c>
      <c r="O109" s="208">
        <f t="shared" si="50"/>
        <v>14704.43240897002</v>
      </c>
      <c r="P109" s="208">
        <f t="shared" si="50"/>
        <v>13547.629171543</v>
      </c>
      <c r="Q109" s="208">
        <f t="shared" si="50"/>
        <v>12337.34444604933</v>
      </c>
      <c r="R109" s="208">
        <f t="shared" si="50"/>
        <v>13013.820199779055</v>
      </c>
      <c r="S109" s="208">
        <f t="shared" si="50"/>
        <v>13738.246348241966</v>
      </c>
      <c r="T109" s="208">
        <f t="shared" si="50"/>
        <v>14435.507959383149</v>
      </c>
      <c r="U109" s="208">
        <f t="shared" si="50"/>
        <v>15105.26383249599</v>
      </c>
      <c r="V109" s="208">
        <f t="shared" si="50"/>
        <v>15747.162530852678</v>
      </c>
    </row>
    <row r="110" spans="1:22" x14ac:dyDescent="0.15">
      <c r="A110" s="181" t="s">
        <v>305</v>
      </c>
      <c r="B110" s="196">
        <f t="shared" ref="B110:V110" si="51">SUM(B111:B111)</f>
        <v>19713.600000000006</v>
      </c>
      <c r="C110" s="196">
        <f t="shared" si="51"/>
        <v>18826.515321889965</v>
      </c>
      <c r="D110" s="196">
        <f t="shared" si="51"/>
        <v>17891.616779629792</v>
      </c>
      <c r="E110" s="196">
        <f t="shared" si="51"/>
        <v>16906.327205941798</v>
      </c>
      <c r="F110" s="196">
        <f t="shared" si="51"/>
        <v>15867.930524232019</v>
      </c>
      <c r="G110" s="196">
        <f t="shared" si="51"/>
        <v>14773.564261378084</v>
      </c>
      <c r="H110" s="196">
        <f t="shared" si="51"/>
        <v>13620.211656956322</v>
      </c>
      <c r="I110" s="196">
        <f t="shared" si="51"/>
        <v>12404.693347156226</v>
      </c>
      <c r="J110" s="196">
        <f t="shared" si="51"/>
        <v>11123.658600457906</v>
      </c>
      <c r="K110" s="196">
        <f t="shared" si="51"/>
        <v>9773.5760809125459</v>
      </c>
      <c r="L110" s="196">
        <f t="shared" si="51"/>
        <v>8350.7241135636905</v>
      </c>
      <c r="M110" s="196">
        <f t="shared" si="51"/>
        <v>6851.1804251747326</v>
      </c>
      <c r="N110" s="196">
        <f t="shared" si="51"/>
        <v>5270.8113319816093</v>
      </c>
      <c r="O110" s="196">
        <f t="shared" si="51"/>
        <v>3605.2603446653766</v>
      </c>
      <c r="P110" s="196">
        <f t="shared" si="51"/>
        <v>1849.936159132799</v>
      </c>
      <c r="Q110" s="196">
        <f t="shared" si="51"/>
        <v>1.5688783605583012E-11</v>
      </c>
      <c r="R110" s="196">
        <f t="shared" si="51"/>
        <v>0</v>
      </c>
      <c r="S110" s="196">
        <f t="shared" si="51"/>
        <v>0</v>
      </c>
      <c r="T110" s="196">
        <f t="shared" si="51"/>
        <v>0</v>
      </c>
      <c r="U110" s="196">
        <f t="shared" si="51"/>
        <v>0</v>
      </c>
      <c r="V110" s="196">
        <f t="shared" si="51"/>
        <v>0</v>
      </c>
    </row>
    <row r="111" spans="1:22" x14ac:dyDescent="0.15">
      <c r="A111" s="205" t="s">
        <v>304</v>
      </c>
      <c r="B111" s="197">
        <f>B94</f>
        <v>19713.600000000006</v>
      </c>
      <c r="C111" s="184">
        <f>IF(测算模型!$F$27="等额本息",'C01'!D9,'C01'!D15)</f>
        <v>18826.515321889965</v>
      </c>
      <c r="D111" s="184">
        <f>IF(测算模型!$F$27="等额本息",'C01'!E9,'C01'!E15)</f>
        <v>17891.616779629792</v>
      </c>
      <c r="E111" s="184">
        <f>IF(测算模型!$F$27="等额本息",'C01'!F9,'C01'!F15)</f>
        <v>16906.327205941798</v>
      </c>
      <c r="F111" s="184">
        <f>IF(测算模型!$F$27="等额本息",'C01'!G9,'C01'!G15)</f>
        <v>15867.930524232019</v>
      </c>
      <c r="G111" s="184">
        <f>IF(测算模型!$F$27="等额本息",'C01'!H9,'C01'!H15)</f>
        <v>14773.564261378084</v>
      </c>
      <c r="H111" s="184">
        <f>IF(测算模型!$F$27="等额本息",'C01'!I9,'C01'!I15)</f>
        <v>13620.211656956322</v>
      </c>
      <c r="I111" s="184">
        <f>IF(测算模型!$F$27="等额本息",'C01'!J9,'C01'!J15)</f>
        <v>12404.693347156226</v>
      </c>
      <c r="J111" s="184">
        <f>IF(测算模型!$F$27="等额本息",'C01'!K9,'C01'!K15)</f>
        <v>11123.658600457906</v>
      </c>
      <c r="K111" s="184">
        <f>IF(测算模型!$F$27="等额本息",'C01'!L9,'C01'!L15)</f>
        <v>9773.5760809125459</v>
      </c>
      <c r="L111" s="184">
        <f>IF(测算模型!$F$27="等额本息",'C01'!M9,'C01'!M15)</f>
        <v>8350.7241135636905</v>
      </c>
      <c r="M111" s="184">
        <f>IF(测算模型!$F$27="等额本息",'C01'!N9,'C01'!N15)</f>
        <v>6851.1804251747326</v>
      </c>
      <c r="N111" s="184">
        <f>IF(测算模型!$F$27="等额本息",'C01'!O9,'C01'!O15)</f>
        <v>5270.8113319816093</v>
      </c>
      <c r="O111" s="184">
        <f>IF(测算模型!$F$27="等额本息",'C01'!P9,'C01'!P15)</f>
        <v>3605.2603446653766</v>
      </c>
      <c r="P111" s="184">
        <f>IF(测算模型!$F$27="等额本息",'C01'!Q9,'C01'!Q15)</f>
        <v>1849.936159132799</v>
      </c>
      <c r="Q111" s="184">
        <f>IF(测算模型!$F$27="等额本息",'C01'!R9,'C01'!R15)</f>
        <v>1.5688783605583012E-11</v>
      </c>
      <c r="R111" s="184">
        <f>IF(测算模型!$F$27="等额本息",'C01'!S9,'C01'!S15)</f>
        <v>0</v>
      </c>
      <c r="S111" s="184">
        <f>IF(测算模型!$F$27="等额本息",'C01'!T9,'C01'!T15)</f>
        <v>0</v>
      </c>
      <c r="T111" s="184">
        <f>IF(测算模型!$F$27="等额本息",'C01'!U9,'C01'!U15)</f>
        <v>0</v>
      </c>
      <c r="U111" s="184">
        <f>IF(测算模型!$F$27="等额本息",'C01'!V9,'C01'!V15)</f>
        <v>0</v>
      </c>
      <c r="V111" s="184">
        <f>IF(测算模型!$F$27="等额本息",'C01'!W9,'C01'!W15)</f>
        <v>0</v>
      </c>
    </row>
    <row r="112" spans="1:22" x14ac:dyDescent="0.15">
      <c r="A112" s="181" t="s">
        <v>306</v>
      </c>
      <c r="B112" s="196">
        <f>SUM(B113:B115)</f>
        <v>4928.3999999999996</v>
      </c>
      <c r="C112" s="196">
        <f t="shared" ref="C112:V112" si="52">SUM(C113:C115)</f>
        <v>5490.9082292307685</v>
      </c>
      <c r="D112" s="196">
        <f t="shared" si="52"/>
        <v>5993.4787430769211</v>
      </c>
      <c r="E112" s="196">
        <f t="shared" si="52"/>
        <v>6445.1292305544393</v>
      </c>
      <c r="F112" s="196">
        <f t="shared" si="52"/>
        <v>6910.6805228870717</v>
      </c>
      <c r="G112" s="196">
        <f t="shared" si="52"/>
        <v>7390.6706242264245</v>
      </c>
      <c r="H112" s="196">
        <f t="shared" si="52"/>
        <v>7776.1485938886617</v>
      </c>
      <c r="I112" s="196">
        <f t="shared" si="52"/>
        <v>8179.6029013713232</v>
      </c>
      <c r="J112" s="196">
        <f t="shared" si="52"/>
        <v>8603.1715788822366</v>
      </c>
      <c r="K112" s="196">
        <f t="shared" si="52"/>
        <v>9049.1137896917753</v>
      </c>
      <c r="L112" s="196">
        <f t="shared" si="52"/>
        <v>9519.8165338309136</v>
      </c>
      <c r="M112" s="196">
        <f t="shared" si="52"/>
        <v>10013.127603447667</v>
      </c>
      <c r="N112" s="196">
        <f t="shared" si="52"/>
        <v>10538.641276071281</v>
      </c>
      <c r="O112" s="196">
        <f t="shared" si="52"/>
        <v>11099.172064304643</v>
      </c>
      <c r="P112" s="196">
        <f t="shared" si="52"/>
        <v>11697.6930124102</v>
      </c>
      <c r="Q112" s="196">
        <f t="shared" si="52"/>
        <v>12337.344446049314</v>
      </c>
      <c r="R112" s="196">
        <f t="shared" si="52"/>
        <v>13013.820199779055</v>
      </c>
      <c r="S112" s="196">
        <f t="shared" si="52"/>
        <v>13738.246348241966</v>
      </c>
      <c r="T112" s="196">
        <f t="shared" si="52"/>
        <v>14435.507959383149</v>
      </c>
      <c r="U112" s="196">
        <f t="shared" si="52"/>
        <v>15105.26383249599</v>
      </c>
      <c r="V112" s="196">
        <f t="shared" si="52"/>
        <v>15747.162530852678</v>
      </c>
    </row>
    <row r="113" spans="1:22" x14ac:dyDescent="0.15">
      <c r="A113" s="205" t="s">
        <v>307</v>
      </c>
      <c r="B113" s="197">
        <f>B93</f>
        <v>4928.3999999999996</v>
      </c>
      <c r="C113" s="197">
        <f>B113</f>
        <v>4928.3999999999996</v>
      </c>
      <c r="D113" s="197">
        <f t="shared" ref="D113:V113" si="53">C113</f>
        <v>4928.3999999999996</v>
      </c>
      <c r="E113" s="197">
        <f t="shared" si="53"/>
        <v>4928.3999999999996</v>
      </c>
      <c r="F113" s="197">
        <f t="shared" si="53"/>
        <v>4928.3999999999996</v>
      </c>
      <c r="G113" s="197">
        <f t="shared" si="53"/>
        <v>4928.3999999999996</v>
      </c>
      <c r="H113" s="197">
        <f t="shared" si="53"/>
        <v>4928.3999999999996</v>
      </c>
      <c r="I113" s="197">
        <f t="shared" si="53"/>
        <v>4928.3999999999996</v>
      </c>
      <c r="J113" s="197">
        <f t="shared" si="53"/>
        <v>4928.3999999999996</v>
      </c>
      <c r="K113" s="197">
        <f t="shared" si="53"/>
        <v>4928.3999999999996</v>
      </c>
      <c r="L113" s="197">
        <f t="shared" si="53"/>
        <v>4928.3999999999996</v>
      </c>
      <c r="M113" s="197">
        <f t="shared" si="53"/>
        <v>4928.3999999999996</v>
      </c>
      <c r="N113" s="197">
        <f t="shared" si="53"/>
        <v>4928.3999999999996</v>
      </c>
      <c r="O113" s="197">
        <f t="shared" si="53"/>
        <v>4928.3999999999996</v>
      </c>
      <c r="P113" s="197">
        <f t="shared" si="53"/>
        <v>4928.3999999999996</v>
      </c>
      <c r="Q113" s="197">
        <f t="shared" si="53"/>
        <v>4928.3999999999996</v>
      </c>
      <c r="R113" s="197">
        <f t="shared" si="53"/>
        <v>4928.3999999999996</v>
      </c>
      <c r="S113" s="197">
        <f t="shared" si="53"/>
        <v>4928.3999999999996</v>
      </c>
      <c r="T113" s="197">
        <f t="shared" si="53"/>
        <v>4928.3999999999996</v>
      </c>
      <c r="U113" s="197">
        <f t="shared" si="53"/>
        <v>4928.3999999999996</v>
      </c>
      <c r="V113" s="197">
        <f t="shared" si="53"/>
        <v>4928.3999999999996</v>
      </c>
    </row>
    <row r="114" spans="1:22" x14ac:dyDescent="0.15">
      <c r="A114" s="205" t="s">
        <v>308</v>
      </c>
      <c r="B114" s="197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</row>
    <row r="115" spans="1:22" x14ac:dyDescent="0.15">
      <c r="A115" s="205" t="s">
        <v>309</v>
      </c>
      <c r="B115" s="197"/>
      <c r="C115" s="184">
        <f>C38</f>
        <v>562.50822923076851</v>
      </c>
      <c r="D115" s="184">
        <f t="shared" ref="D115:V115" si="54">C115+D38</f>
        <v>1065.0787430769215</v>
      </c>
      <c r="E115" s="184">
        <f t="shared" si="54"/>
        <v>1516.7292305544395</v>
      </c>
      <c r="F115" s="184">
        <f t="shared" si="54"/>
        <v>1982.280522887072</v>
      </c>
      <c r="G115" s="184">
        <f t="shared" si="54"/>
        <v>2462.2706242264248</v>
      </c>
      <c r="H115" s="184">
        <f t="shared" si="54"/>
        <v>2847.7485938886625</v>
      </c>
      <c r="I115" s="184">
        <f t="shared" si="54"/>
        <v>3251.2029013713232</v>
      </c>
      <c r="J115" s="184">
        <f t="shared" si="54"/>
        <v>3674.7715788822379</v>
      </c>
      <c r="K115" s="184">
        <f t="shared" si="54"/>
        <v>4120.7137896917766</v>
      </c>
      <c r="L115" s="184">
        <f t="shared" si="54"/>
        <v>4591.416533830914</v>
      </c>
      <c r="M115" s="184">
        <f t="shared" si="54"/>
        <v>5084.7276034476672</v>
      </c>
      <c r="N115" s="184">
        <f t="shared" si="54"/>
        <v>5610.2412760712814</v>
      </c>
      <c r="O115" s="184">
        <f t="shared" si="54"/>
        <v>6170.7720643046441</v>
      </c>
      <c r="P115" s="184">
        <f t="shared" si="54"/>
        <v>6769.2930124102013</v>
      </c>
      <c r="Q115" s="184">
        <f t="shared" si="54"/>
        <v>7408.9444460493141</v>
      </c>
      <c r="R115" s="184">
        <f t="shared" si="54"/>
        <v>8085.4201997790551</v>
      </c>
      <c r="S115" s="184">
        <f t="shared" si="54"/>
        <v>8809.8463482419666</v>
      </c>
      <c r="T115" s="184">
        <f t="shared" si="54"/>
        <v>9507.1079593831491</v>
      </c>
      <c r="U115" s="184">
        <f t="shared" si="54"/>
        <v>10176.86383249599</v>
      </c>
      <c r="V115" s="184">
        <f t="shared" si="54"/>
        <v>10818.762530852679</v>
      </c>
    </row>
    <row r="116" spans="1:22" x14ac:dyDescent="0.15">
      <c r="A116" s="177" t="s">
        <v>311</v>
      </c>
      <c r="B116" s="178"/>
      <c r="C116" s="246">
        <f>C38/AVERAGE(B112+C112)</f>
        <v>5.3987099417280325E-2</v>
      </c>
      <c r="D116" s="246">
        <f>D38/AVERAGE(C112+D112)</f>
        <v>4.3761196401514636E-2</v>
      </c>
      <c r="E116" s="246">
        <f t="shared" ref="E116:V116" si="55">E38/AVERAGE(D112+E112)</f>
        <v>3.6310372385316196E-2</v>
      </c>
      <c r="F116" s="246">
        <f t="shared" si="55"/>
        <v>3.4857586393267539E-2</v>
      </c>
      <c r="G116" s="246">
        <f t="shared" si="55"/>
        <v>3.3562570165702937E-2</v>
      </c>
      <c r="H116" s="246">
        <f t="shared" si="55"/>
        <v>2.5415874226405153E-2</v>
      </c>
      <c r="I116" s="246">
        <f t="shared" si="55"/>
        <v>2.5285822958731583E-2</v>
      </c>
      <c r="J116" s="246">
        <f t="shared" si="55"/>
        <v>2.5238298828914221E-2</v>
      </c>
      <c r="K116" s="246">
        <f t="shared" si="55"/>
        <v>2.5262576572857819E-2</v>
      </c>
      <c r="L116" s="246">
        <f t="shared" si="55"/>
        <v>2.5348942342837154E-2</v>
      </c>
      <c r="M116" s="246">
        <f t="shared" si="55"/>
        <v>2.5255336120849826E-2</v>
      </c>
      <c r="N116" s="246">
        <f t="shared" si="55"/>
        <v>2.5570240484132704E-2</v>
      </c>
      <c r="O116" s="246">
        <f t="shared" si="55"/>
        <v>2.5905149444441257E-2</v>
      </c>
      <c r="P116" s="246">
        <f t="shared" si="55"/>
        <v>2.6254528685915605E-2</v>
      </c>
      <c r="Q116" s="246">
        <f t="shared" si="55"/>
        <v>2.661329048247341E-2</v>
      </c>
      <c r="R116" s="246">
        <f t="shared" si="55"/>
        <v>2.6684208129312017E-2</v>
      </c>
      <c r="S116" s="246">
        <f t="shared" si="55"/>
        <v>2.7079259359740954E-2</v>
      </c>
      <c r="T116" s="246">
        <f t="shared" si="55"/>
        <v>2.4748622548769503E-2</v>
      </c>
      <c r="U116" s="246">
        <f t="shared" si="55"/>
        <v>2.2672253718738655E-2</v>
      </c>
      <c r="V116" s="246">
        <f t="shared" si="55"/>
        <v>2.0805452731563322E-2</v>
      </c>
    </row>
    <row r="117" spans="1:22" x14ac:dyDescent="0.15">
      <c r="A117" s="171"/>
      <c r="B117" s="172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</row>
    <row r="119" spans="1:22" x14ac:dyDescent="0.15"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</row>
    <row r="120" spans="1:22" x14ac:dyDescent="0.15">
      <c r="A120" s="141"/>
      <c r="C120" s="244"/>
      <c r="D120" s="244"/>
      <c r="E120" s="244"/>
      <c r="F120" s="244"/>
      <c r="G120" s="244"/>
      <c r="H120" s="244"/>
      <c r="I120" s="244"/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</row>
    <row r="121" spans="1:22" x14ac:dyDescent="0.15">
      <c r="A121" s="141"/>
      <c r="C121" s="244"/>
      <c r="D121" s="244"/>
      <c r="E121" s="244"/>
      <c r="F121" s="244"/>
      <c r="G121" s="244"/>
      <c r="H121" s="244"/>
      <c r="I121" s="244"/>
      <c r="J121" s="244"/>
      <c r="K121" s="244"/>
      <c r="L121" s="244"/>
      <c r="M121" s="244"/>
      <c r="N121" s="244"/>
      <c r="O121" s="244"/>
      <c r="P121" s="244"/>
      <c r="Q121" s="244"/>
      <c r="R121" s="244"/>
      <c r="S121" s="244"/>
      <c r="T121" s="244"/>
      <c r="U121" s="244"/>
      <c r="V121" s="244"/>
    </row>
    <row r="122" spans="1:22" x14ac:dyDescent="0.15">
      <c r="A122" s="141"/>
      <c r="C122" s="244"/>
      <c r="D122" s="244"/>
      <c r="E122" s="244"/>
      <c r="F122" s="244"/>
      <c r="G122" s="244"/>
      <c r="H122" s="244"/>
      <c r="I122" s="244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</row>
    <row r="123" spans="1:22" x14ac:dyDescent="0.15"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</row>
  </sheetData>
  <sheetProtection password="AF83" sheet="1" objects="1" scenarios="1"/>
  <mergeCells count="2">
    <mergeCell ref="A1:H1"/>
    <mergeCell ref="A2:H2"/>
  </mergeCells>
  <phoneticPr fontId="1" type="noConversion"/>
  <printOptions gridLines="1"/>
  <pageMargins left="0.31496062992125984" right="0.23622047244094491" top="0.74803149606299213" bottom="0.74803149606299213" header="0.31496062992125984" footer="0.31496062992125984"/>
  <pageSetup paperSize="8" scale="10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1"/>
  <sheetViews>
    <sheetView showGridLines="0" workbookViewId="0">
      <selection activeCell="A9" sqref="A9"/>
    </sheetView>
  </sheetViews>
  <sheetFormatPr defaultColWidth="9" defaultRowHeight="15" x14ac:dyDescent="0.15"/>
  <cols>
    <col min="1" max="1" width="18.875" style="1" customWidth="1"/>
    <col min="2" max="2" width="4.25" style="1" customWidth="1"/>
    <col min="3" max="3" width="12.125" style="1" customWidth="1"/>
    <col min="4" max="4" width="4.25" style="1" customWidth="1"/>
    <col min="5" max="5" width="22.5" style="1" customWidth="1"/>
    <col min="6" max="6" width="4.25" style="1" customWidth="1"/>
    <col min="7" max="7" width="12.875" style="1" customWidth="1"/>
    <col min="8" max="8" width="9" style="1"/>
    <col min="9" max="9" width="25.875" style="1" customWidth="1"/>
    <col min="10" max="10" width="8.75" style="1" customWidth="1"/>
    <col min="11" max="12" width="12.875" style="1" customWidth="1"/>
    <col min="13" max="16384" width="9" style="1"/>
  </cols>
  <sheetData>
    <row r="1" spans="1:12" x14ac:dyDescent="0.15">
      <c r="A1" s="2" t="s">
        <v>3</v>
      </c>
      <c r="C1" s="2" t="s">
        <v>2</v>
      </c>
      <c r="E1" s="3" t="s">
        <v>4</v>
      </c>
      <c r="G1" s="3" t="s">
        <v>5</v>
      </c>
      <c r="I1" s="3" t="s">
        <v>6</v>
      </c>
      <c r="K1" s="271" t="s">
        <v>61</v>
      </c>
      <c r="L1" s="271"/>
    </row>
    <row r="2" spans="1:12" x14ac:dyDescent="0.15">
      <c r="A2" s="1" t="s">
        <v>1</v>
      </c>
      <c r="C2" s="1" t="s">
        <v>13</v>
      </c>
      <c r="E2" s="1" t="s">
        <v>9</v>
      </c>
      <c r="G2" s="1" t="s">
        <v>11</v>
      </c>
      <c r="I2" s="1" t="s">
        <v>0</v>
      </c>
      <c r="K2" s="106">
        <v>10</v>
      </c>
      <c r="L2" s="106">
        <v>1960000</v>
      </c>
    </row>
    <row r="3" spans="1:12" x14ac:dyDescent="0.15">
      <c r="A3" s="105" t="s">
        <v>187</v>
      </c>
      <c r="C3" s="1" t="s">
        <v>14</v>
      </c>
      <c r="E3" s="1" t="s">
        <v>10</v>
      </c>
      <c r="G3" s="1" t="s">
        <v>12</v>
      </c>
      <c r="I3" s="1" t="s">
        <v>7</v>
      </c>
      <c r="K3" s="106">
        <v>20</v>
      </c>
      <c r="L3" s="106">
        <v>2530000</v>
      </c>
    </row>
    <row r="4" spans="1:12" x14ac:dyDescent="0.15">
      <c r="C4" s="1" t="s">
        <v>15</v>
      </c>
      <c r="K4" s="106">
        <v>30</v>
      </c>
      <c r="L4" s="106">
        <v>3150000</v>
      </c>
    </row>
    <row r="5" spans="1:12" x14ac:dyDescent="0.15">
      <c r="K5" s="106">
        <v>40</v>
      </c>
      <c r="L5" s="106">
        <v>3560000</v>
      </c>
    </row>
    <row r="6" spans="1:12" x14ac:dyDescent="0.15">
      <c r="K6" s="106">
        <v>50</v>
      </c>
      <c r="L6" s="106">
        <v>4950000</v>
      </c>
    </row>
    <row r="7" spans="1:12" x14ac:dyDescent="0.15">
      <c r="K7" s="106">
        <v>60</v>
      </c>
      <c r="L7" s="106">
        <v>5380000</v>
      </c>
    </row>
    <row r="8" spans="1:12" x14ac:dyDescent="0.15">
      <c r="K8" s="106">
        <v>70</v>
      </c>
      <c r="L8" s="106">
        <v>5920000</v>
      </c>
    </row>
    <row r="9" spans="1:12" x14ac:dyDescent="0.15">
      <c r="K9" s="106">
        <v>80</v>
      </c>
      <c r="L9" s="106">
        <v>6540000</v>
      </c>
    </row>
    <row r="10" spans="1:12" x14ac:dyDescent="0.15">
      <c r="K10" s="106">
        <v>90</v>
      </c>
      <c r="L10" s="106">
        <v>7070000</v>
      </c>
    </row>
    <row r="11" spans="1:12" x14ac:dyDescent="0.15">
      <c r="K11" s="106">
        <v>100</v>
      </c>
      <c r="L11" s="106">
        <v>7910000</v>
      </c>
    </row>
  </sheetData>
  <mergeCells count="1">
    <mergeCell ref="K1:L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AA47"/>
  <sheetViews>
    <sheetView zoomScale="115" zoomScaleNormal="115" workbookViewId="0">
      <selection activeCell="I17" sqref="I17"/>
    </sheetView>
  </sheetViews>
  <sheetFormatPr defaultRowHeight="13.5" x14ac:dyDescent="0.15"/>
  <cols>
    <col min="1" max="1" width="4.875" customWidth="1"/>
  </cols>
  <sheetData>
    <row r="3" spans="2:27" ht="17.25" x14ac:dyDescent="0.15">
      <c r="B3" s="20" t="s">
        <v>75</v>
      </c>
      <c r="J3" s="57" t="s">
        <v>76</v>
      </c>
      <c r="R3" s="57" t="s">
        <v>360</v>
      </c>
      <c r="AA3" s="57" t="s">
        <v>361</v>
      </c>
    </row>
    <row r="23" spans="2:13" ht="17.25" x14ac:dyDescent="0.15">
      <c r="B23" s="20" t="s">
        <v>77</v>
      </c>
      <c r="D23" s="21">
        <f>测算模型!C22*测算模型!C24*(1-测算模型!C26)*(1-测算模型!C27)*(1-测算模型!C28)*(1-测算模型!C29)</f>
        <v>1193.346</v>
      </c>
    </row>
    <row r="24" spans="2:13" ht="18" x14ac:dyDescent="0.15">
      <c r="B24" s="288"/>
      <c r="C24" s="289"/>
      <c r="D24" s="22">
        <v>1</v>
      </c>
      <c r="E24" s="22">
        <v>2</v>
      </c>
      <c r="F24" s="22">
        <v>3</v>
      </c>
      <c r="G24" s="22">
        <v>4</v>
      </c>
      <c r="H24" s="22">
        <v>5</v>
      </c>
      <c r="I24" s="22">
        <v>6</v>
      </c>
      <c r="J24" s="22">
        <v>7</v>
      </c>
      <c r="K24" s="22">
        <v>8</v>
      </c>
      <c r="L24" s="22">
        <v>9</v>
      </c>
      <c r="M24" s="23">
        <v>10</v>
      </c>
    </row>
    <row r="25" spans="2:13" ht="17.25" x14ac:dyDescent="0.15">
      <c r="B25" s="291" t="s">
        <v>86</v>
      </c>
      <c r="C25" s="292"/>
      <c r="D25" s="24">
        <f>测算模型!C19</f>
        <v>30</v>
      </c>
      <c r="E25" s="24">
        <f>D25</f>
        <v>30</v>
      </c>
      <c r="F25" s="24">
        <f t="shared" ref="F25:M25" si="0">E25</f>
        <v>30</v>
      </c>
      <c r="G25" s="24">
        <f t="shared" si="0"/>
        <v>30</v>
      </c>
      <c r="H25" s="24">
        <f t="shared" si="0"/>
        <v>30</v>
      </c>
      <c r="I25" s="24">
        <f t="shared" si="0"/>
        <v>30</v>
      </c>
      <c r="J25" s="24">
        <f t="shared" si="0"/>
        <v>30</v>
      </c>
      <c r="K25" s="24">
        <f t="shared" si="0"/>
        <v>30</v>
      </c>
      <c r="L25" s="24">
        <f t="shared" si="0"/>
        <v>30</v>
      </c>
      <c r="M25" s="25">
        <f t="shared" si="0"/>
        <v>30</v>
      </c>
    </row>
    <row r="26" spans="2:13" ht="17.25" x14ac:dyDescent="0.15">
      <c r="B26" s="291" t="s">
        <v>81</v>
      </c>
      <c r="C26" s="292" t="s">
        <v>50</v>
      </c>
      <c r="D26" s="26">
        <f>测算模型!C40</f>
        <v>2.5000000000000001E-2</v>
      </c>
      <c r="E26" s="26">
        <f>测算模型!$C$41</f>
        <v>8.0000000000000002E-3</v>
      </c>
      <c r="F26" s="26">
        <f>测算模型!$C$41</f>
        <v>8.0000000000000002E-3</v>
      </c>
      <c r="G26" s="26">
        <f>测算模型!$C$41</f>
        <v>8.0000000000000002E-3</v>
      </c>
      <c r="H26" s="26">
        <f>测算模型!$C$41</f>
        <v>8.0000000000000002E-3</v>
      </c>
      <c r="I26" s="26">
        <f>测算模型!$C$41</f>
        <v>8.0000000000000002E-3</v>
      </c>
      <c r="J26" s="26">
        <f>测算模型!$C$41</f>
        <v>8.0000000000000002E-3</v>
      </c>
      <c r="K26" s="26">
        <f>测算模型!$C$41</f>
        <v>8.0000000000000002E-3</v>
      </c>
      <c r="L26" s="26">
        <f>测算模型!$C$41</f>
        <v>8.0000000000000002E-3</v>
      </c>
      <c r="M26" s="27">
        <f>测算模型!$C$41</f>
        <v>8.0000000000000002E-3</v>
      </c>
    </row>
    <row r="27" spans="2:13" ht="17.25" x14ac:dyDescent="0.15">
      <c r="B27" s="291" t="s">
        <v>82</v>
      </c>
      <c r="C27" s="292" t="s">
        <v>51</v>
      </c>
      <c r="D27" s="24">
        <f>$D$23*(1+1-D26)/2</f>
        <v>1178.429175</v>
      </c>
      <c r="E27" s="24">
        <f>$D$23*(1-D26+1-D26-E26)/2</f>
        <v>1158.7389660000001</v>
      </c>
      <c r="F27" s="24">
        <f>$D$23*(E27/$D$23-F26)</f>
        <v>1149.1921980000002</v>
      </c>
      <c r="G27" s="24">
        <f t="shared" ref="G27:M27" si="1">$D$23*(F27/$D$23-G26)</f>
        <v>1139.6454300000003</v>
      </c>
      <c r="H27" s="24">
        <f t="shared" si="1"/>
        <v>1130.0986620000001</v>
      </c>
      <c r="I27" s="24">
        <f t="shared" si="1"/>
        <v>1120.5518940000002</v>
      </c>
      <c r="J27" s="24">
        <f t="shared" si="1"/>
        <v>1111.0051260000002</v>
      </c>
      <c r="K27" s="24">
        <f t="shared" si="1"/>
        <v>1101.4583580000001</v>
      </c>
      <c r="L27" s="24">
        <f t="shared" si="1"/>
        <v>1091.9115899999999</v>
      </c>
      <c r="M27" s="25">
        <f t="shared" si="1"/>
        <v>1082.364822</v>
      </c>
    </row>
    <row r="28" spans="2:13" ht="17.25" x14ac:dyDescent="0.15">
      <c r="B28" s="291" t="s">
        <v>83</v>
      </c>
      <c r="C28" s="292" t="s">
        <v>52</v>
      </c>
      <c r="D28" s="24">
        <f>D25*D27/10</f>
        <v>3535.2875249999997</v>
      </c>
      <c r="E28" s="24">
        <f t="shared" ref="E28:M28" si="2">E25*E27/10</f>
        <v>3476.2168980000001</v>
      </c>
      <c r="F28" s="24">
        <f t="shared" si="2"/>
        <v>3447.5765940000006</v>
      </c>
      <c r="G28" s="24">
        <f t="shared" si="2"/>
        <v>3418.9362900000006</v>
      </c>
      <c r="H28" s="24">
        <f t="shared" si="2"/>
        <v>3390.2959860000001</v>
      </c>
      <c r="I28" s="24">
        <f t="shared" si="2"/>
        <v>3361.6556820000005</v>
      </c>
      <c r="J28" s="24">
        <f t="shared" si="2"/>
        <v>3333.015378000001</v>
      </c>
      <c r="K28" s="24">
        <f t="shared" si="2"/>
        <v>3304.3750740000005</v>
      </c>
      <c r="L28" s="24">
        <f t="shared" si="2"/>
        <v>3275.73477</v>
      </c>
      <c r="M28" s="25">
        <f t="shared" si="2"/>
        <v>3247.094466</v>
      </c>
    </row>
    <row r="29" spans="2:13" ht="18" x14ac:dyDescent="0.15">
      <c r="B29" s="294"/>
      <c r="C29" s="295"/>
      <c r="D29" s="28">
        <v>11</v>
      </c>
      <c r="E29" s="28">
        <v>12</v>
      </c>
      <c r="F29" s="28">
        <v>13</v>
      </c>
      <c r="G29" s="28">
        <v>14</v>
      </c>
      <c r="H29" s="28">
        <v>15</v>
      </c>
      <c r="I29" s="28">
        <v>16</v>
      </c>
      <c r="J29" s="28">
        <v>17</v>
      </c>
      <c r="K29" s="28">
        <v>18</v>
      </c>
      <c r="L29" s="28">
        <v>19</v>
      </c>
      <c r="M29" s="29">
        <v>20</v>
      </c>
    </row>
    <row r="30" spans="2:13" ht="17.25" x14ac:dyDescent="0.15">
      <c r="B30" s="291" t="s">
        <v>80</v>
      </c>
      <c r="C30" s="292"/>
      <c r="D30" s="24">
        <f>M25</f>
        <v>30</v>
      </c>
      <c r="E30" s="24">
        <f>D30</f>
        <v>30</v>
      </c>
      <c r="F30" s="24">
        <f t="shared" ref="F30:M30" si="3">E30</f>
        <v>30</v>
      </c>
      <c r="G30" s="24">
        <f t="shared" si="3"/>
        <v>30</v>
      </c>
      <c r="H30" s="24">
        <f t="shared" si="3"/>
        <v>30</v>
      </c>
      <c r="I30" s="24">
        <f t="shared" si="3"/>
        <v>30</v>
      </c>
      <c r="J30" s="24">
        <f t="shared" si="3"/>
        <v>30</v>
      </c>
      <c r="K30" s="24">
        <f t="shared" si="3"/>
        <v>30</v>
      </c>
      <c r="L30" s="24">
        <f t="shared" si="3"/>
        <v>30</v>
      </c>
      <c r="M30" s="25">
        <f t="shared" si="3"/>
        <v>30</v>
      </c>
    </row>
    <row r="31" spans="2:13" ht="17.25" x14ac:dyDescent="0.15">
      <c r="B31" s="291" t="s">
        <v>81</v>
      </c>
      <c r="C31" s="292" t="s">
        <v>50</v>
      </c>
      <c r="D31" s="26">
        <f>测算模型!$C$42</f>
        <v>7.0000000000000001E-3</v>
      </c>
      <c r="E31" s="26">
        <f>测算模型!$C$42</f>
        <v>7.0000000000000001E-3</v>
      </c>
      <c r="F31" s="26">
        <f>测算模型!$C$42</f>
        <v>7.0000000000000001E-3</v>
      </c>
      <c r="G31" s="26">
        <f>测算模型!$C$42</f>
        <v>7.0000000000000001E-3</v>
      </c>
      <c r="H31" s="26">
        <f>测算模型!$C$42</f>
        <v>7.0000000000000001E-3</v>
      </c>
      <c r="I31" s="26">
        <f>测算模型!$C$42</f>
        <v>7.0000000000000001E-3</v>
      </c>
      <c r="J31" s="26">
        <f>测算模型!$C$42</f>
        <v>7.0000000000000001E-3</v>
      </c>
      <c r="K31" s="26">
        <f>测算模型!$C$42</f>
        <v>7.0000000000000001E-3</v>
      </c>
      <c r="L31" s="26">
        <f>测算模型!$C$42</f>
        <v>7.0000000000000001E-3</v>
      </c>
      <c r="M31" s="27">
        <f>测算模型!$C$42</f>
        <v>7.0000000000000001E-3</v>
      </c>
    </row>
    <row r="32" spans="2:13" ht="17.25" x14ac:dyDescent="0.15">
      <c r="B32" s="291" t="s">
        <v>82</v>
      </c>
      <c r="C32" s="292" t="s">
        <v>51</v>
      </c>
      <c r="D32" s="24">
        <f>$D$23*(M27/$D$23-(M26+D31)/2)</f>
        <v>1073.4147270000001</v>
      </c>
      <c r="E32" s="24">
        <f>$D$23*(D32/$D$23-E31)</f>
        <v>1065.0613050000002</v>
      </c>
      <c r="F32" s="24">
        <f t="shared" ref="F32:M32" si="4">$D$23*(E32/$D$23-F31)</f>
        <v>1056.7078830000003</v>
      </c>
      <c r="G32" s="24">
        <f t="shared" si="4"/>
        <v>1048.3544610000001</v>
      </c>
      <c r="H32" s="24">
        <f t="shared" si="4"/>
        <v>1040.001039</v>
      </c>
      <c r="I32" s="24">
        <f t="shared" si="4"/>
        <v>1031.6476169999999</v>
      </c>
      <c r="J32" s="24">
        <f t="shared" si="4"/>
        <v>1023.2941949999998</v>
      </c>
      <c r="K32" s="24">
        <f t="shared" si="4"/>
        <v>1014.9407729999998</v>
      </c>
      <c r="L32" s="24">
        <f t="shared" si="4"/>
        <v>1006.5873509999998</v>
      </c>
      <c r="M32" s="25">
        <f t="shared" si="4"/>
        <v>998.23392899999976</v>
      </c>
    </row>
    <row r="33" spans="2:13" ht="17.25" x14ac:dyDescent="0.15">
      <c r="B33" s="291" t="s">
        <v>83</v>
      </c>
      <c r="C33" s="292" t="s">
        <v>52</v>
      </c>
      <c r="D33" s="24">
        <f>D30*D32/10</f>
        <v>3220.2441810000005</v>
      </c>
      <c r="E33" s="24">
        <f t="shared" ref="E33:M33" si="5">E30*E32/10</f>
        <v>3195.1839150000005</v>
      </c>
      <c r="F33" s="24">
        <f t="shared" si="5"/>
        <v>3170.1236490000006</v>
      </c>
      <c r="G33" s="24">
        <f t="shared" si="5"/>
        <v>3145.0633830000002</v>
      </c>
      <c r="H33" s="24">
        <f t="shared" si="5"/>
        <v>3120.0031169999997</v>
      </c>
      <c r="I33" s="24">
        <f t="shared" si="5"/>
        <v>3094.9428509999993</v>
      </c>
      <c r="J33" s="24">
        <f t="shared" si="5"/>
        <v>3069.8825849999994</v>
      </c>
      <c r="K33" s="24">
        <f t="shared" si="5"/>
        <v>3044.8223189999994</v>
      </c>
      <c r="L33" s="24">
        <f t="shared" si="5"/>
        <v>3019.7620529999995</v>
      </c>
      <c r="M33" s="25">
        <f t="shared" si="5"/>
        <v>2994.7017869999991</v>
      </c>
    </row>
    <row r="34" spans="2:13" ht="17.25" x14ac:dyDescent="0.15">
      <c r="B34" s="293" t="s">
        <v>84</v>
      </c>
      <c r="C34" s="281"/>
      <c r="D34" s="272">
        <f>(SUM(D28:M28)+SUM(D33:M33))/20</f>
        <v>3243.2459251499995</v>
      </c>
      <c r="E34" s="281"/>
      <c r="F34" s="286" t="s">
        <v>79</v>
      </c>
      <c r="G34" s="286"/>
      <c r="H34" s="281" t="s">
        <v>85</v>
      </c>
      <c r="I34" s="281"/>
      <c r="J34" s="272">
        <f>SUM(D28:M28)+SUM(D33:M33)</f>
        <v>64864.918502999994</v>
      </c>
      <c r="K34" s="281"/>
      <c r="L34" s="286" t="s">
        <v>79</v>
      </c>
      <c r="M34" s="287"/>
    </row>
    <row r="36" spans="2:13" ht="17.25" x14ac:dyDescent="0.15">
      <c r="B36" s="20" t="s">
        <v>78</v>
      </c>
    </row>
    <row r="37" spans="2:13" ht="18" x14ac:dyDescent="0.15">
      <c r="B37" s="288" t="s">
        <v>87</v>
      </c>
      <c r="C37" s="289"/>
      <c r="D37" s="289" t="s">
        <v>88</v>
      </c>
      <c r="E37" s="289"/>
      <c r="F37" s="289" t="s">
        <v>89</v>
      </c>
      <c r="G37" s="289"/>
      <c r="H37" s="289" t="s">
        <v>90</v>
      </c>
      <c r="I37" s="289"/>
      <c r="J37" s="289" t="s">
        <v>91</v>
      </c>
      <c r="K37" s="289"/>
      <c r="L37" s="289" t="s">
        <v>92</v>
      </c>
      <c r="M37" s="290"/>
    </row>
    <row r="38" spans="2:13" ht="17.25" x14ac:dyDescent="0.15">
      <c r="B38" s="274" t="s">
        <v>53</v>
      </c>
      <c r="C38" s="275"/>
      <c r="D38" s="276">
        <f>D28*10</f>
        <v>35352.875249999997</v>
      </c>
      <c r="E38" s="277"/>
      <c r="F38" s="276">
        <f>H28*10</f>
        <v>33902.959860000003</v>
      </c>
      <c r="G38" s="277"/>
      <c r="H38" s="276">
        <f>M28*10</f>
        <v>32470.944660000001</v>
      </c>
      <c r="I38" s="277"/>
      <c r="J38" s="276">
        <f>H33*10</f>
        <v>31200.031169999998</v>
      </c>
      <c r="K38" s="277"/>
      <c r="L38" s="276">
        <f>M33*10</f>
        <v>29947.017869999989</v>
      </c>
      <c r="M38" s="278"/>
    </row>
    <row r="39" spans="2:13" ht="18" x14ac:dyDescent="0.15">
      <c r="B39" s="284" t="s">
        <v>54</v>
      </c>
      <c r="C39" s="285" t="s">
        <v>54</v>
      </c>
      <c r="D39" s="282">
        <f>'C01'!C23+'C01'!C24+'C01'!C25</f>
        <v>3535.2875249999997</v>
      </c>
      <c r="E39" s="285"/>
      <c r="F39" s="282">
        <f>'C01'!G23+'C01'!G24+'C01'!G25</f>
        <v>3390.2959859999996</v>
      </c>
      <c r="G39" s="285"/>
      <c r="H39" s="282">
        <f>'C01'!L23+'C01'!L24+'C01'!L25</f>
        <v>3247.0944659999996</v>
      </c>
      <c r="I39" s="285"/>
      <c r="J39" s="282">
        <f>'C01'!Q23+'C01'!Q24+'C01'!Q25</f>
        <v>3121.7931359999998</v>
      </c>
      <c r="K39" s="285"/>
      <c r="L39" s="282">
        <f>'C01'!V23+'C01'!V24+'C01'!V25</f>
        <v>2996.4918059999995</v>
      </c>
      <c r="M39" s="283"/>
    </row>
    <row r="40" spans="2:13" ht="17.25" x14ac:dyDescent="0.15">
      <c r="B40" s="274" t="s">
        <v>55</v>
      </c>
      <c r="C40" s="275" t="s">
        <v>55</v>
      </c>
      <c r="D40" s="276">
        <f>'C01'!C23</f>
        <v>1554.1123959899999</v>
      </c>
      <c r="E40" s="277"/>
      <c r="F40" s="276">
        <f>'C01'!G23</f>
        <v>1490.3741154455997</v>
      </c>
      <c r="G40" s="277"/>
      <c r="H40" s="276">
        <f>'C01'!L23</f>
        <v>1427.4227272535998</v>
      </c>
      <c r="I40" s="277"/>
      <c r="J40" s="276">
        <f>'C01'!Q23</f>
        <v>1372.3402625855999</v>
      </c>
      <c r="K40" s="277"/>
      <c r="L40" s="276">
        <f>'C01'!V23</f>
        <v>1317.2577979175999</v>
      </c>
      <c r="M40" s="278"/>
    </row>
    <row r="41" spans="2:13" ht="17.25" x14ac:dyDescent="0.15">
      <c r="B41" s="274" t="s">
        <v>56</v>
      </c>
      <c r="C41" s="275" t="s">
        <v>56</v>
      </c>
      <c r="D41" s="276">
        <f>'C01'!C24+'C01'!C25</f>
        <v>1981.1751290099999</v>
      </c>
      <c r="E41" s="277"/>
      <c r="F41" s="276">
        <f>'C01'!G24+'C01'!G25</f>
        <v>1899.9218705543999</v>
      </c>
      <c r="G41" s="277"/>
      <c r="H41" s="276">
        <f>'C01'!L24+'C01'!L25</f>
        <v>1819.6717387463998</v>
      </c>
      <c r="I41" s="277"/>
      <c r="J41" s="276">
        <f>'C01'!Q24+'C01'!Q25</f>
        <v>1749.4528734143998</v>
      </c>
      <c r="K41" s="277"/>
      <c r="L41" s="276">
        <f>'C01'!V24+'C01'!V25</f>
        <v>1679.2340080823997</v>
      </c>
      <c r="M41" s="278"/>
    </row>
    <row r="42" spans="2:13" ht="17.25" x14ac:dyDescent="0.15">
      <c r="B42" s="274" t="s">
        <v>93</v>
      </c>
      <c r="C42" s="275" t="s">
        <v>93</v>
      </c>
      <c r="D42" s="276">
        <f>'C01'!C31+'C01'!C32</f>
        <v>399</v>
      </c>
      <c r="E42" s="277"/>
      <c r="F42" s="276">
        <f>'C01'!G31+'C01'!G32</f>
        <v>438.53527514999996</v>
      </c>
      <c r="G42" s="277"/>
      <c r="H42" s="276">
        <f>'C01'!L31+'C01'!L32</f>
        <v>503.40355290621198</v>
      </c>
      <c r="I42" s="277"/>
      <c r="J42" s="276">
        <f>'C01'!Q31+'C01'!Q32</f>
        <v>578.10576332936</v>
      </c>
      <c r="K42" s="277"/>
      <c r="L42" s="276">
        <f>'C01'!V31+'C01'!V32</f>
        <v>664.15840671928652</v>
      </c>
      <c r="M42" s="278"/>
    </row>
    <row r="43" spans="2:13" ht="17.25" x14ac:dyDescent="0.15">
      <c r="B43" s="274" t="s">
        <v>94</v>
      </c>
      <c r="C43" s="275" t="s">
        <v>94</v>
      </c>
      <c r="D43" s="276">
        <f>'C01'!C33+'C01'!C34</f>
        <v>997.54200000000014</v>
      </c>
      <c r="E43" s="277"/>
      <c r="F43" s="276">
        <f>'C01'!G33+'C01'!G34</f>
        <v>997.54200000000014</v>
      </c>
      <c r="G43" s="277"/>
      <c r="H43" s="276">
        <f>'C01'!L33+'C01'!L34</f>
        <v>997.54200000000014</v>
      </c>
      <c r="I43" s="277"/>
      <c r="J43" s="276">
        <f>'C01'!Q33+'C01'!Q34</f>
        <v>997.54200000000014</v>
      </c>
      <c r="K43" s="277"/>
      <c r="L43" s="276">
        <f>'C01'!V33+'C01'!V34</f>
        <v>997.54200000000014</v>
      </c>
      <c r="M43" s="278"/>
    </row>
    <row r="44" spans="2:13" ht="17.25" x14ac:dyDescent="0.15">
      <c r="B44" s="274" t="s">
        <v>57</v>
      </c>
      <c r="C44" s="275" t="s">
        <v>57</v>
      </c>
      <c r="D44" s="276">
        <f>'C01'!C35</f>
        <v>1062.5630400000005</v>
      </c>
      <c r="E44" s="277"/>
      <c r="F44" s="276">
        <f>'C01'!G35</f>
        <v>911.25103640026293</v>
      </c>
      <c r="G44" s="277"/>
      <c r="H44" s="276">
        <f>'C01'!L35</f>
        <v>599.56519856468117</v>
      </c>
      <c r="I44" s="277"/>
      <c r="J44" s="276">
        <f>'C01'!Q35</f>
        <v>194.32353257746382</v>
      </c>
      <c r="K44" s="277"/>
      <c r="L44" s="276">
        <f>'C01'!V35</f>
        <v>0</v>
      </c>
      <c r="M44" s="278"/>
    </row>
    <row r="45" spans="2:13" ht="18" x14ac:dyDescent="0.15">
      <c r="B45" s="284" t="s">
        <v>58</v>
      </c>
      <c r="C45" s="285" t="s">
        <v>58</v>
      </c>
      <c r="D45" s="282">
        <f>'C01'!C30</f>
        <v>2459.1050400000004</v>
      </c>
      <c r="E45" s="285"/>
      <c r="F45" s="282">
        <f>'C01'!G30</f>
        <v>2347.3283115502632</v>
      </c>
      <c r="G45" s="285"/>
      <c r="H45" s="282">
        <f>'C01'!L30</f>
        <v>2100.5107514708934</v>
      </c>
      <c r="I45" s="285"/>
      <c r="J45" s="282">
        <f>'C01'!Q30</f>
        <v>1769.971295906824</v>
      </c>
      <c r="K45" s="285"/>
      <c r="L45" s="282">
        <f>'C01'!V30</f>
        <v>1661.7004067192865</v>
      </c>
      <c r="M45" s="283"/>
    </row>
    <row r="46" spans="2:13" ht="17.25" x14ac:dyDescent="0.15">
      <c r="B46" s="274" t="s">
        <v>59</v>
      </c>
      <c r="C46" s="275" t="s">
        <v>59</v>
      </c>
      <c r="D46" s="276">
        <f>'C01'!C36</f>
        <v>562.50822923076851</v>
      </c>
      <c r="E46" s="277"/>
      <c r="F46" s="276">
        <f>'C01'!G36</f>
        <v>548.56011581640337</v>
      </c>
      <c r="G46" s="277"/>
      <c r="H46" s="276">
        <f>'C01'!L36</f>
        <v>627.60365885218289</v>
      </c>
      <c r="I46" s="277"/>
      <c r="J46" s="276">
        <f>'C01'!Q36</f>
        <v>852.8685781854831</v>
      </c>
      <c r="K46" s="277"/>
      <c r="L46" s="276">
        <f>'C01'!V36</f>
        <v>855.86493114225186</v>
      </c>
      <c r="M46" s="278"/>
    </row>
    <row r="47" spans="2:13" ht="17.25" x14ac:dyDescent="0.15">
      <c r="B47" s="279" t="s">
        <v>60</v>
      </c>
      <c r="C47" s="280" t="s">
        <v>60</v>
      </c>
      <c r="D47" s="272">
        <f>'C01'!C38</f>
        <v>562.50822923076851</v>
      </c>
      <c r="E47" s="281"/>
      <c r="F47" s="272">
        <f>'C01'!G38</f>
        <v>479.99010133935292</v>
      </c>
      <c r="G47" s="281"/>
      <c r="H47" s="272">
        <f>'C01'!L38</f>
        <v>470.70274413913717</v>
      </c>
      <c r="I47" s="281"/>
      <c r="J47" s="272">
        <f>'C01'!Q38</f>
        <v>639.65143363911238</v>
      </c>
      <c r="K47" s="281"/>
      <c r="L47" s="272">
        <f>'C01'!V38</f>
        <v>641.8986983566889</v>
      </c>
      <c r="M47" s="273"/>
    </row>
  </sheetData>
  <mergeCells count="82">
    <mergeCell ref="B29:C29"/>
    <mergeCell ref="B24:C24"/>
    <mergeCell ref="B25:C25"/>
    <mergeCell ref="B26:C26"/>
    <mergeCell ref="B27:C27"/>
    <mergeCell ref="B28:C28"/>
    <mergeCell ref="B30:C30"/>
    <mergeCell ref="B31:C31"/>
    <mergeCell ref="B32:C32"/>
    <mergeCell ref="B33:C33"/>
    <mergeCell ref="B34:C34"/>
    <mergeCell ref="F34:G34"/>
    <mergeCell ref="H34:I34"/>
    <mergeCell ref="J34:K34"/>
    <mergeCell ref="L34:M34"/>
    <mergeCell ref="B37:C37"/>
    <mergeCell ref="D37:E37"/>
    <mergeCell ref="F37:G37"/>
    <mergeCell ref="H37:I37"/>
    <mergeCell ref="J37:K37"/>
    <mergeCell ref="L37:M37"/>
    <mergeCell ref="D34:E34"/>
    <mergeCell ref="L39:M39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41:M41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3:M43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5:M45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7:M47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</mergeCells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I37"/>
  <sheetViews>
    <sheetView workbookViewId="0">
      <selection activeCell="I7" sqref="I7"/>
    </sheetView>
  </sheetViews>
  <sheetFormatPr defaultRowHeight="13.5" x14ac:dyDescent="0.15"/>
  <cols>
    <col min="2" max="2" width="8" customWidth="1"/>
    <col min="3" max="3" width="20.875" customWidth="1"/>
    <col min="4" max="4" width="78.875" bestFit="1" customWidth="1"/>
    <col min="6" max="8" width="10.625" customWidth="1"/>
  </cols>
  <sheetData>
    <row r="1" spans="2:9" x14ac:dyDescent="0.15">
      <c r="F1" t="s">
        <v>143</v>
      </c>
      <c r="G1" t="s">
        <v>144</v>
      </c>
      <c r="H1" t="s">
        <v>145</v>
      </c>
    </row>
    <row r="2" spans="2:9" x14ac:dyDescent="0.15">
      <c r="B2" s="296" t="s">
        <v>19</v>
      </c>
      <c r="C2" s="296"/>
      <c r="D2" s="296"/>
      <c r="F2" t="s">
        <v>176</v>
      </c>
      <c r="G2">
        <v>20140620</v>
      </c>
      <c r="H2">
        <v>20140623</v>
      </c>
    </row>
    <row r="3" spans="2:9" x14ac:dyDescent="0.15">
      <c r="B3" t="s">
        <v>20</v>
      </c>
      <c r="C3" t="s">
        <v>21</v>
      </c>
      <c r="D3" t="s">
        <v>36</v>
      </c>
      <c r="F3" t="s">
        <v>177</v>
      </c>
      <c r="I3" t="s">
        <v>178</v>
      </c>
    </row>
    <row r="4" spans="2:9" x14ac:dyDescent="0.15">
      <c r="B4" t="s">
        <v>22</v>
      </c>
      <c r="C4" t="s">
        <v>49</v>
      </c>
      <c r="D4" t="s">
        <v>23</v>
      </c>
      <c r="F4" t="s">
        <v>179</v>
      </c>
      <c r="I4" t="s">
        <v>180</v>
      </c>
    </row>
    <row r="5" spans="2:9" x14ac:dyDescent="0.15">
      <c r="B5" t="s">
        <v>24</v>
      </c>
      <c r="C5" t="s">
        <v>46</v>
      </c>
      <c r="F5" t="s">
        <v>185</v>
      </c>
      <c r="I5" t="s">
        <v>186</v>
      </c>
    </row>
    <row r="6" spans="2:9" x14ac:dyDescent="0.15">
      <c r="B6" s="19">
        <v>3.1</v>
      </c>
      <c r="C6" t="s">
        <v>333</v>
      </c>
      <c r="D6" t="s">
        <v>73</v>
      </c>
      <c r="F6" t="s">
        <v>332</v>
      </c>
      <c r="I6" t="s">
        <v>359</v>
      </c>
    </row>
    <row r="7" spans="2:9" x14ac:dyDescent="0.15">
      <c r="B7" s="5">
        <v>3.1</v>
      </c>
      <c r="C7" t="s">
        <v>62</v>
      </c>
      <c r="D7" t="s">
        <v>334</v>
      </c>
    </row>
    <row r="8" spans="2:9" x14ac:dyDescent="0.15">
      <c r="B8" s="5">
        <v>3.2</v>
      </c>
      <c r="C8" t="s">
        <v>25</v>
      </c>
      <c r="D8" t="s">
        <v>26</v>
      </c>
    </row>
    <row r="9" spans="2:9" x14ac:dyDescent="0.15">
      <c r="B9" s="5">
        <v>3.3</v>
      </c>
      <c r="C9" t="s">
        <v>63</v>
      </c>
      <c r="D9" t="s">
        <v>335</v>
      </c>
    </row>
    <row r="10" spans="2:9" x14ac:dyDescent="0.15">
      <c r="B10" s="5">
        <v>3.4</v>
      </c>
      <c r="C10" t="s">
        <v>64</v>
      </c>
      <c r="D10" t="s">
        <v>27</v>
      </c>
    </row>
    <row r="11" spans="2:9" x14ac:dyDescent="0.15">
      <c r="B11" s="5">
        <v>3.5</v>
      </c>
      <c r="C11" t="s">
        <v>65</v>
      </c>
      <c r="D11" t="s">
        <v>28</v>
      </c>
    </row>
    <row r="12" spans="2:9" x14ac:dyDescent="0.15">
      <c r="B12" s="5">
        <v>3.6</v>
      </c>
      <c r="C12" t="s">
        <v>66</v>
      </c>
      <c r="D12" t="s">
        <v>336</v>
      </c>
    </row>
    <row r="13" spans="2:9" x14ac:dyDescent="0.15">
      <c r="B13" s="5">
        <v>3.7</v>
      </c>
      <c r="C13" t="s">
        <v>29</v>
      </c>
      <c r="D13" t="s">
        <v>337</v>
      </c>
    </row>
    <row r="14" spans="2:9" x14ac:dyDescent="0.15">
      <c r="B14" s="5" t="s">
        <v>30</v>
      </c>
      <c r="C14" t="s">
        <v>45</v>
      </c>
    </row>
    <row r="15" spans="2:9" x14ac:dyDescent="0.15">
      <c r="B15" s="5">
        <v>4.0999999999999996</v>
      </c>
      <c r="C15" t="s">
        <v>31</v>
      </c>
      <c r="D15" t="s">
        <v>338</v>
      </c>
    </row>
    <row r="16" spans="2:9" x14ac:dyDescent="0.15">
      <c r="B16" s="5">
        <v>4.2</v>
      </c>
      <c r="C16" t="s">
        <v>339</v>
      </c>
      <c r="D16" t="s">
        <v>340</v>
      </c>
    </row>
    <row r="17" spans="2:4" x14ac:dyDescent="0.15">
      <c r="B17" s="5">
        <v>4.3</v>
      </c>
      <c r="C17" t="s">
        <v>32</v>
      </c>
      <c r="D17" t="s">
        <v>340</v>
      </c>
    </row>
    <row r="18" spans="2:4" x14ac:dyDescent="0.15">
      <c r="B18" s="5">
        <v>4.4000000000000004</v>
      </c>
      <c r="C18" t="s">
        <v>33</v>
      </c>
      <c r="D18" t="s">
        <v>141</v>
      </c>
    </row>
    <row r="19" spans="2:4" x14ac:dyDescent="0.15">
      <c r="B19" s="18">
        <v>4.5</v>
      </c>
      <c r="C19" t="s">
        <v>67</v>
      </c>
      <c r="D19" t="s">
        <v>341</v>
      </c>
    </row>
    <row r="20" spans="2:4" x14ac:dyDescent="0.15">
      <c r="B20" s="18">
        <v>4.5999999999999996</v>
      </c>
      <c r="C20" t="s">
        <v>34</v>
      </c>
      <c r="D20" t="s">
        <v>342</v>
      </c>
    </row>
    <row r="21" spans="2:4" x14ac:dyDescent="0.15">
      <c r="B21" s="18">
        <v>4.7</v>
      </c>
      <c r="C21" t="s">
        <v>35</v>
      </c>
      <c r="D21" t="s">
        <v>142</v>
      </c>
    </row>
    <row r="22" spans="2:4" x14ac:dyDescent="0.15">
      <c r="B22" s="18">
        <v>4.8</v>
      </c>
      <c r="C22" t="s">
        <v>38</v>
      </c>
      <c r="D22" t="s">
        <v>343</v>
      </c>
    </row>
    <row r="23" spans="2:4" x14ac:dyDescent="0.15">
      <c r="B23" s="18">
        <v>4.9000000000000004</v>
      </c>
      <c r="C23" t="s">
        <v>39</v>
      </c>
      <c r="D23" t="s">
        <v>344</v>
      </c>
    </row>
    <row r="24" spans="2:4" x14ac:dyDescent="0.15">
      <c r="B24" t="s">
        <v>37</v>
      </c>
      <c r="C24" t="s">
        <v>44</v>
      </c>
    </row>
    <row r="25" spans="2:4" x14ac:dyDescent="0.15">
      <c r="B25" s="5">
        <v>5.0999999999999996</v>
      </c>
      <c r="C25" t="s">
        <v>40</v>
      </c>
      <c r="D25" s="4" t="s">
        <v>345</v>
      </c>
    </row>
    <row r="26" spans="2:4" x14ac:dyDescent="0.15">
      <c r="B26" s="5">
        <v>5.2</v>
      </c>
      <c r="C26" t="s">
        <v>346</v>
      </c>
      <c r="D26" t="s">
        <v>41</v>
      </c>
    </row>
    <row r="27" spans="2:4" x14ac:dyDescent="0.15">
      <c r="B27" s="5">
        <v>5.3</v>
      </c>
      <c r="C27" t="s">
        <v>347</v>
      </c>
      <c r="D27" s="4" t="s">
        <v>348</v>
      </c>
    </row>
    <row r="28" spans="2:4" x14ac:dyDescent="0.15">
      <c r="B28" s="258">
        <v>5.4</v>
      </c>
      <c r="C28" s="258" t="s">
        <v>42</v>
      </c>
      <c r="D28" t="s">
        <v>349</v>
      </c>
    </row>
    <row r="29" spans="2:4" x14ac:dyDescent="0.15">
      <c r="B29" s="6" t="s">
        <v>43</v>
      </c>
      <c r="C29" t="s">
        <v>18</v>
      </c>
    </row>
    <row r="30" spans="2:4" x14ac:dyDescent="0.15">
      <c r="B30" s="5">
        <v>6.1</v>
      </c>
      <c r="C30" t="s">
        <v>70</v>
      </c>
      <c r="D30" t="s">
        <v>348</v>
      </c>
    </row>
    <row r="31" spans="2:4" ht="27" x14ac:dyDescent="0.15">
      <c r="B31" s="5">
        <v>6.2</v>
      </c>
      <c r="C31" t="s">
        <v>71</v>
      </c>
      <c r="D31" s="4" t="s">
        <v>134</v>
      </c>
    </row>
    <row r="32" spans="2:4" x14ac:dyDescent="0.15">
      <c r="B32" s="5">
        <v>6.3</v>
      </c>
      <c r="C32" t="s">
        <v>68</v>
      </c>
      <c r="D32" t="s">
        <v>48</v>
      </c>
    </row>
    <row r="33" spans="2:4" x14ac:dyDescent="0.15">
      <c r="B33" s="5">
        <v>6.4</v>
      </c>
      <c r="C33" t="s">
        <v>69</v>
      </c>
      <c r="D33" t="s">
        <v>47</v>
      </c>
    </row>
    <row r="34" spans="2:4" x14ac:dyDescent="0.15">
      <c r="B34" t="s">
        <v>133</v>
      </c>
      <c r="C34" t="s">
        <v>135</v>
      </c>
      <c r="D34" t="s">
        <v>136</v>
      </c>
    </row>
    <row r="35" spans="2:4" x14ac:dyDescent="0.15">
      <c r="B35" t="s">
        <v>350</v>
      </c>
      <c r="C35" t="s">
        <v>351</v>
      </c>
      <c r="D35" t="s">
        <v>352</v>
      </c>
    </row>
    <row r="36" spans="2:4" x14ac:dyDescent="0.15">
      <c r="B36" t="s">
        <v>353</v>
      </c>
      <c r="C36" t="s">
        <v>354</v>
      </c>
      <c r="D36" t="s">
        <v>355</v>
      </c>
    </row>
    <row r="37" spans="2:4" x14ac:dyDescent="0.15">
      <c r="B37" t="s">
        <v>356</v>
      </c>
      <c r="C37" t="s">
        <v>357</v>
      </c>
      <c r="D37" t="s">
        <v>358</v>
      </c>
    </row>
  </sheetData>
  <mergeCells count="1">
    <mergeCell ref="B2:D2"/>
  </mergeCells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71136636855D49AA89ABFA74C07C04" ma:contentTypeVersion="0" ma:contentTypeDescription="Create a new document." ma:contentTypeScope="" ma:versionID="385bd9e358d809947070132e04cf99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32B87D-9206-48B0-9A1A-21DD5C7E8BB2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C362A5E-0C98-48E6-85C5-3A5BBD2ECA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C76F24-1180-42A7-A6F4-1BCD6D4BAE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测算模型</vt:lpstr>
      <vt:lpstr>Configuration</vt:lpstr>
      <vt:lpstr>测算结果附表</vt:lpstr>
      <vt:lpstr>模型使用说明</vt:lpstr>
      <vt:lpstr>'C01'!Print_Area</vt:lpstr>
      <vt:lpstr>测算模型!Print_Area</vt:lpstr>
      <vt:lpstr>ProjectCurremcy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IRR Forecast</dc:title>
  <dc:creator>David Xue</dc:creator>
  <cp:lastModifiedBy>卢直</cp:lastModifiedBy>
  <cp:lastPrinted>2014-08-26T07:37:58Z</cp:lastPrinted>
  <dcterms:created xsi:type="dcterms:W3CDTF">2011-10-21T01:08:14Z</dcterms:created>
  <dcterms:modified xsi:type="dcterms:W3CDTF">2015-10-30T06:14:43Z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0x0101003A71136636855D49AA89ABFA74C07C04</vt:lpwstr>
  </property>
</Properties>
</file>